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ПФХД 2022(окончание)\"/>
    </mc:Choice>
  </mc:AlternateContent>
  <bookViews>
    <workbookView xWindow="0" yWindow="0" windowWidth="23040" windowHeight="9216"/>
  </bookViews>
  <sheets>
    <sheet name="Титульный" sheetId="31" r:id="rId1"/>
    <sheet name="гос.зад на 2022 год " sheetId="9" r:id="rId2"/>
    <sheet name="Закупки гос.задание на 2022 год" sheetId="1" r:id="rId3"/>
    <sheet name="обоснования гос.зад 2022 " sheetId="28" r:id="rId4"/>
    <sheet name="платные на 2022 год " sheetId="11" r:id="rId5"/>
    <sheet name="Закупки платные на 2022 год" sheetId="30" r:id="rId6"/>
    <sheet name="обоснования плат 2022" sheetId="15" r:id="rId7"/>
    <sheet name="иные субсидии 2022 год " sheetId="10" r:id="rId8"/>
    <sheet name="Закупки иные на 2022 год " sheetId="13" r:id="rId9"/>
    <sheet name="обоснования иные 2022 " sheetId="29" r:id="rId10"/>
    <sheet name="гос.задание на 2023-2024 год " sheetId="5" r:id="rId11"/>
    <sheet name="Закупки гос.зад на 2023-2024" sheetId="17" r:id="rId12"/>
    <sheet name="обоснования гос.зад 2023" sheetId="24" r:id="rId13"/>
    <sheet name="обоснования гос.зад 2024" sheetId="25" r:id="rId14"/>
    <sheet name="платные на 2023-2024 год" sheetId="6" r:id="rId15"/>
    <sheet name="Закупки платные на 2023-2024" sheetId="18" r:id="rId16"/>
    <sheet name="ОБОСНОВАНИЯ ПЛАТ 2023" sheetId="26" r:id="rId17"/>
    <sheet name="обоснования плат 2024" sheetId="27" r:id="rId18"/>
    <sheet name="иные субсидии 2021-2022" sheetId="20" r:id="rId19"/>
    <sheet name="Закупки иные на 2021-2022" sheetId="19" r:id="rId20"/>
    <sheet name="ОБОСНОВАНИЯ" sheetId="14" r:id="rId21"/>
  </sheets>
  <externalReferences>
    <externalReference r:id="rId22"/>
    <externalReference r:id="rId23"/>
  </externalReferences>
  <definedNames>
    <definedName name="_xlnm._FilterDatabase" localSheetId="11" hidden="1">'Закупки гос.зад на 2023-2024'!$A$8:$F$58</definedName>
    <definedName name="_xlnm._FilterDatabase" localSheetId="2" hidden="1">'Закупки гос.задание на 2022 год'!$A$8:$F$58</definedName>
    <definedName name="_xlnm._FilterDatabase" localSheetId="19" hidden="1">'Закупки иные на 2021-2022'!$A$8:$F$53</definedName>
    <definedName name="_xlnm._FilterDatabase" localSheetId="8" hidden="1">'Закупки иные на 2022 год '!$A$8:$F$58</definedName>
    <definedName name="_xlnm._FilterDatabase" localSheetId="5" hidden="1">'Закупки платные на 2022 год'!$A$8:$F$58</definedName>
    <definedName name="_xlnm._FilterDatabase" localSheetId="15" hidden="1">'Закупки платные на 2023-2024'!$A$8:$F$58</definedName>
    <definedName name="_xlnm.Print_Titles" localSheetId="1">'гос.зад на 2022 год '!$7:$7</definedName>
    <definedName name="_xlnm.Print_Titles" localSheetId="10">'гос.задание на 2023-2024 год '!$7:$7</definedName>
    <definedName name="_xlnm.Print_Titles" localSheetId="11">'Закупки гос.зад на 2023-2024'!$8:$8</definedName>
    <definedName name="_xlnm.Print_Titles" localSheetId="2">'Закупки гос.задание на 2022 год'!$8:$8</definedName>
    <definedName name="_xlnm.Print_Titles" localSheetId="19">'Закупки иные на 2021-2022'!$8:$8</definedName>
    <definedName name="_xlnm.Print_Titles" localSheetId="8">'Закупки иные на 2022 год '!$8:$8</definedName>
    <definedName name="_xlnm.Print_Titles" localSheetId="5">'Закупки платные на 2022 год'!$8:$8</definedName>
    <definedName name="_xlnm.Print_Titles" localSheetId="15">'Закупки платные на 2023-2024'!$8:$8</definedName>
    <definedName name="_xlnm.Print_Titles" localSheetId="18">'иные субсидии 2021-2022'!$7:$7</definedName>
    <definedName name="_xlnm.Print_Titles" localSheetId="7">'иные субсидии 2022 год '!$7:$7</definedName>
    <definedName name="_xlnm.Print_Titles" localSheetId="4">'платные на 2022 год '!$7:$7</definedName>
    <definedName name="_xlnm.Print_Titles" localSheetId="14">'платные на 2023-2024 год'!$7:$7</definedName>
    <definedName name="_xlnm.Print_Area" localSheetId="18">'иные субсидии 2021-2022'!$A$1:$I$114</definedName>
  </definedNames>
  <calcPr calcId="191029"/>
</workbook>
</file>

<file path=xl/calcChain.xml><?xml version="1.0" encoding="utf-8"?>
<calcChain xmlns="http://schemas.openxmlformats.org/spreadsheetml/2006/main">
  <c r="E76" i="30" l="1"/>
  <c r="E110" i="11" l="1"/>
  <c r="E13" i="11"/>
  <c r="F399" i="15" l="1"/>
  <c r="F333" i="15"/>
  <c r="F340" i="15"/>
  <c r="F306" i="15"/>
  <c r="F177" i="15"/>
  <c r="G135" i="15"/>
  <c r="G140" i="15"/>
  <c r="F276" i="28"/>
  <c r="F279" i="28"/>
  <c r="F280" i="28" l="1"/>
  <c r="F247" i="28"/>
  <c r="F235" i="28"/>
  <c r="G118" i="28" l="1"/>
  <c r="E33" i="11"/>
  <c r="E31" i="11"/>
  <c r="E63" i="11"/>
  <c r="E52" i="11"/>
  <c r="E42" i="11"/>
  <c r="E58" i="11"/>
  <c r="E35" i="11"/>
  <c r="E32" i="11"/>
  <c r="E68" i="11"/>
  <c r="E97" i="9"/>
  <c r="E68" i="9"/>
  <c r="E55" i="9"/>
  <c r="E54" i="9"/>
  <c r="E48" i="9"/>
  <c r="E42" i="9"/>
  <c r="E43" i="9"/>
  <c r="E61" i="9"/>
  <c r="E63" i="9"/>
  <c r="E25" i="9"/>
  <c r="E23" i="9"/>
  <c r="G118" i="29" l="1"/>
  <c r="F136" i="29" l="1"/>
  <c r="E14" i="10"/>
  <c r="E89" i="10"/>
  <c r="E98" i="10"/>
  <c r="F277" i="28" l="1"/>
  <c r="F255" i="15" l="1"/>
  <c r="F105" i="15"/>
  <c r="E104" i="11"/>
  <c r="E95" i="11"/>
  <c r="E62" i="11"/>
  <c r="E56" i="11"/>
  <c r="E40" i="9"/>
  <c r="E60" i="9"/>
  <c r="D60" i="9" s="1"/>
  <c r="D63" i="9"/>
  <c r="G117" i="29" l="1"/>
  <c r="G115" i="29"/>
  <c r="G142" i="15" l="1"/>
  <c r="E50" i="11" l="1"/>
  <c r="E51" i="11"/>
  <c r="G143" i="28" l="1"/>
  <c r="F143" i="28" s="1"/>
  <c r="E58" i="9" l="1"/>
  <c r="E24" i="9"/>
  <c r="E106" i="11" l="1"/>
  <c r="F393" i="15" l="1"/>
  <c r="F395" i="15"/>
  <c r="F397" i="15"/>
  <c r="E102" i="11"/>
  <c r="E44" i="9"/>
  <c r="E52" i="10" l="1"/>
  <c r="G89" i="6"/>
  <c r="D89" i="6"/>
  <c r="G85" i="5"/>
  <c r="G84" i="5"/>
  <c r="D85" i="5"/>
  <c r="D84" i="5"/>
  <c r="D84" i="10"/>
  <c r="D91" i="11"/>
  <c r="D90" i="11"/>
  <c r="D84" i="9"/>
  <c r="D83" i="9"/>
  <c r="H12" i="5"/>
  <c r="G12" i="5"/>
  <c r="E12" i="5"/>
  <c r="G85" i="6"/>
  <c r="D85" i="6"/>
  <c r="G80" i="5"/>
  <c r="D80" i="5"/>
  <c r="D80" i="10"/>
  <c r="D86" i="11"/>
  <c r="D79" i="9"/>
  <c r="E103" i="11"/>
  <c r="E101" i="11"/>
  <c r="E69" i="9"/>
  <c r="E12" i="9" l="1"/>
  <c r="E75" i="11" l="1"/>
  <c r="F96" i="29" l="1"/>
  <c r="E56" i="10"/>
  <c r="E27" i="10" l="1"/>
  <c r="E25" i="10"/>
  <c r="F368" i="15" l="1"/>
  <c r="F377" i="15"/>
  <c r="F217" i="15"/>
  <c r="E109" i="11" l="1"/>
  <c r="E39" i="11"/>
  <c r="F263" i="27" l="1"/>
  <c r="F262" i="27"/>
  <c r="F255" i="27"/>
  <c r="F254" i="27"/>
  <c r="F245" i="26"/>
  <c r="F246" i="26"/>
  <c r="F253" i="26"/>
  <c r="F254" i="26"/>
  <c r="F256" i="27" l="1"/>
  <c r="F264" i="27"/>
  <c r="F255" i="26"/>
  <c r="F247" i="26"/>
  <c r="F151" i="25"/>
  <c r="F149" i="25"/>
  <c r="F150" i="25"/>
  <c r="F189" i="24"/>
  <c r="F274" i="15"/>
  <c r="F178" i="15" l="1"/>
  <c r="H32" i="6" l="1"/>
  <c r="E32" i="6"/>
  <c r="E76" i="11" l="1"/>
  <c r="E48" i="11"/>
  <c r="G119" i="29" l="1"/>
  <c r="F256" i="15" l="1"/>
  <c r="F326" i="15" l="1"/>
  <c r="F135" i="29" l="1"/>
  <c r="F134" i="29"/>
  <c r="E59" i="9" l="1"/>
  <c r="F137" i="29" l="1"/>
  <c r="F165" i="28" l="1"/>
  <c r="D59" i="9" l="1"/>
  <c r="C22" i="29" l="1"/>
  <c r="G22" i="29" s="1"/>
  <c r="C21" i="29"/>
  <c r="G21" i="29" s="1"/>
  <c r="C77" i="29"/>
  <c r="G77" i="29" s="1"/>
  <c r="C76" i="29"/>
  <c r="G76" i="29" s="1"/>
  <c r="C75" i="29"/>
  <c r="G75" i="29" s="1"/>
  <c r="C74" i="29"/>
  <c r="G74" i="29" s="1"/>
  <c r="C73" i="29"/>
  <c r="G73" i="29" s="1"/>
  <c r="C72" i="29"/>
  <c r="G72" i="29" s="1"/>
  <c r="C71" i="29"/>
  <c r="G71" i="29" s="1"/>
  <c r="C70" i="29"/>
  <c r="G70" i="29" s="1"/>
  <c r="C69" i="29"/>
  <c r="G69" i="29" s="1"/>
  <c r="C68" i="29"/>
  <c r="G68" i="29" s="1"/>
  <c r="C67" i="29"/>
  <c r="G67" i="29" s="1"/>
  <c r="C66" i="29"/>
  <c r="G66" i="29" s="1"/>
  <c r="C65" i="29"/>
  <c r="G65" i="29" s="1"/>
  <c r="C64" i="29"/>
  <c r="G64" i="29" s="1"/>
  <c r="C63" i="29"/>
  <c r="G63" i="29" s="1"/>
  <c r="C62" i="29"/>
  <c r="G62" i="29" s="1"/>
  <c r="C61" i="29"/>
  <c r="G61" i="29" s="1"/>
  <c r="C60" i="29"/>
  <c r="G60" i="29" s="1"/>
  <c r="C59" i="29"/>
  <c r="G59" i="29" s="1"/>
  <c r="C58" i="29"/>
  <c r="G58" i="29" s="1"/>
  <c r="C57" i="29"/>
  <c r="G57" i="29" s="1"/>
  <c r="C56" i="29"/>
  <c r="G56" i="29" s="1"/>
  <c r="C55" i="29"/>
  <c r="G55" i="29" s="1"/>
  <c r="C54" i="29"/>
  <c r="G54" i="29" s="1"/>
  <c r="C53" i="29"/>
  <c r="G53" i="29" s="1"/>
  <c r="C52" i="29"/>
  <c r="G52" i="29" s="1"/>
  <c r="C51" i="29"/>
  <c r="G51" i="29" s="1"/>
  <c r="C50" i="29"/>
  <c r="G50" i="29" s="1"/>
  <c r="C49" i="29"/>
  <c r="G49" i="29" s="1"/>
  <c r="C48" i="29"/>
  <c r="G48" i="29" s="1"/>
  <c r="C47" i="29"/>
  <c r="G47" i="29" s="1"/>
  <c r="C46" i="29"/>
  <c r="G46" i="29" s="1"/>
  <c r="C45" i="29"/>
  <c r="G45" i="29" s="1"/>
  <c r="C44" i="29"/>
  <c r="G44" i="29" s="1"/>
  <c r="C43" i="29"/>
  <c r="G43" i="29" s="1"/>
  <c r="C42" i="29"/>
  <c r="G42" i="29" s="1"/>
  <c r="C41" i="29"/>
  <c r="G41" i="29" s="1"/>
  <c r="C40" i="29"/>
  <c r="G40" i="29" s="1"/>
  <c r="C39" i="29"/>
  <c r="G39" i="29" s="1"/>
  <c r="C38" i="29"/>
  <c r="G38" i="29" s="1"/>
  <c r="C37" i="29"/>
  <c r="G37" i="29" s="1"/>
  <c r="C36" i="29"/>
  <c r="G36" i="29" s="1"/>
  <c r="C35" i="29"/>
  <c r="G35" i="29" s="1"/>
  <c r="C34" i="29"/>
  <c r="G34" i="29" s="1"/>
  <c r="C33" i="29"/>
  <c r="G33" i="29" s="1"/>
  <c r="C32" i="29"/>
  <c r="G32" i="29" s="1"/>
  <c r="C31" i="29"/>
  <c r="G31" i="29" s="1"/>
  <c r="C30" i="29"/>
  <c r="G30" i="29" s="1"/>
  <c r="C29" i="29"/>
  <c r="G29" i="29" s="1"/>
  <c r="C28" i="29"/>
  <c r="G28" i="29" s="1"/>
  <c r="C27" i="29"/>
  <c r="G27" i="29" s="1"/>
  <c r="C26" i="29"/>
  <c r="G26" i="29" s="1"/>
  <c r="C25" i="29"/>
  <c r="G25" i="29" s="1"/>
  <c r="C24" i="29"/>
  <c r="G24" i="29" s="1"/>
  <c r="C23" i="29"/>
  <c r="G23" i="29" s="1"/>
  <c r="B78" i="29"/>
  <c r="G79" i="29"/>
  <c r="D88" i="29" s="1"/>
  <c r="A88" i="29"/>
  <c r="B88" i="29"/>
  <c r="G106" i="29"/>
  <c r="G78" i="29" l="1"/>
  <c r="F88" i="29"/>
  <c r="F213" i="28" l="1"/>
  <c r="F253" i="15"/>
  <c r="B151" i="27" l="1"/>
  <c r="A162" i="27" s="1"/>
  <c r="C150" i="27"/>
  <c r="G150" i="27" s="1"/>
  <c r="C149" i="27"/>
  <c r="G149" i="27" s="1"/>
  <c r="C148" i="27"/>
  <c r="G148" i="27" s="1"/>
  <c r="C147" i="27"/>
  <c r="G147" i="27" s="1"/>
  <c r="C146" i="27"/>
  <c r="G146" i="27" s="1"/>
  <c r="C145" i="27"/>
  <c r="G145" i="27" s="1"/>
  <c r="B144" i="27"/>
  <c r="A163" i="27" s="1"/>
  <c r="F143" i="27"/>
  <c r="C143" i="27" s="1"/>
  <c r="G143" i="27" s="1"/>
  <c r="C142" i="27"/>
  <c r="G142" i="27" s="1"/>
  <c r="C141" i="27"/>
  <c r="G141" i="27" s="1"/>
  <c r="C140" i="27"/>
  <c r="G140" i="27" s="1"/>
  <c r="C139" i="27"/>
  <c r="G139" i="27" s="1"/>
  <c r="C138" i="27"/>
  <c r="G138" i="27" s="1"/>
  <c r="C137" i="27"/>
  <c r="G137" i="27" s="1"/>
  <c r="C136" i="27"/>
  <c r="G136" i="27" s="1"/>
  <c r="C135" i="27"/>
  <c r="G135" i="27" s="1"/>
  <c r="C134" i="27"/>
  <c r="G134" i="27" s="1"/>
  <c r="C133" i="27"/>
  <c r="G133" i="27" s="1"/>
  <c r="C132" i="27"/>
  <c r="G132" i="27" s="1"/>
  <c r="C131" i="27"/>
  <c r="G131" i="27" s="1"/>
  <c r="C130" i="27"/>
  <c r="G130" i="27" s="1"/>
  <c r="F129" i="27"/>
  <c r="C129" i="27" s="1"/>
  <c r="G129" i="27" s="1"/>
  <c r="C128" i="27"/>
  <c r="G128" i="27" s="1"/>
  <c r="C127" i="27"/>
  <c r="G127" i="27" s="1"/>
  <c r="C126" i="27"/>
  <c r="G126" i="27" s="1"/>
  <c r="C125" i="27"/>
  <c r="G125" i="27" s="1"/>
  <c r="C124" i="27"/>
  <c r="G124" i="27" s="1"/>
  <c r="C123" i="27"/>
  <c r="G123" i="27" s="1"/>
  <c r="C122" i="27"/>
  <c r="G122" i="27" s="1"/>
  <c r="C121" i="27"/>
  <c r="G121" i="27" s="1"/>
  <c r="C120" i="27"/>
  <c r="G120" i="27" s="1"/>
  <c r="C119" i="27"/>
  <c r="G119" i="27" s="1"/>
  <c r="C118" i="27"/>
  <c r="G118" i="27" s="1"/>
  <c r="C117" i="27"/>
  <c r="G117" i="27" s="1"/>
  <c r="C116" i="27"/>
  <c r="G116" i="27" s="1"/>
  <c r="C115" i="27"/>
  <c r="G115" i="27" s="1"/>
  <c r="C114" i="27"/>
  <c r="G114" i="27" s="1"/>
  <c r="C113" i="27"/>
  <c r="G113" i="27" s="1"/>
  <c r="C112" i="27"/>
  <c r="G112" i="27" s="1"/>
  <c r="C111" i="27"/>
  <c r="G111" i="27" s="1"/>
  <c r="C110" i="27"/>
  <c r="G110" i="27" s="1"/>
  <c r="C109" i="27"/>
  <c r="G109" i="27" s="1"/>
  <c r="C108" i="27"/>
  <c r="G108" i="27" s="1"/>
  <c r="C107" i="27"/>
  <c r="G107" i="27" s="1"/>
  <c r="C106" i="27"/>
  <c r="G106" i="27" s="1"/>
  <c r="C105" i="27"/>
  <c r="G105" i="27" s="1"/>
  <c r="C104" i="27"/>
  <c r="G104" i="27" s="1"/>
  <c r="C103" i="27"/>
  <c r="G103" i="27" s="1"/>
  <c r="C102" i="27"/>
  <c r="G102" i="27" s="1"/>
  <c r="C101" i="27"/>
  <c r="G101" i="27" s="1"/>
  <c r="C100" i="27"/>
  <c r="G100" i="27" s="1"/>
  <c r="C99" i="27"/>
  <c r="G99" i="27" s="1"/>
  <c r="C98" i="27"/>
  <c r="G98" i="27" s="1"/>
  <c r="C97" i="27"/>
  <c r="G97" i="27" s="1"/>
  <c r="C96" i="27"/>
  <c r="G96" i="27" s="1"/>
  <c r="C95" i="27"/>
  <c r="G95" i="27" s="1"/>
  <c r="C94" i="27"/>
  <c r="G94" i="27" s="1"/>
  <c r="C93" i="27"/>
  <c r="G93" i="27" s="1"/>
  <c r="C92" i="27"/>
  <c r="G92" i="27" s="1"/>
  <c r="C91" i="27"/>
  <c r="G91" i="27" s="1"/>
  <c r="C90" i="27"/>
  <c r="G90" i="27" s="1"/>
  <c r="C89" i="27"/>
  <c r="G89" i="27" s="1"/>
  <c r="C88" i="27"/>
  <c r="G88" i="27" s="1"/>
  <c r="C87" i="27"/>
  <c r="G87" i="27" s="1"/>
  <c r="C86" i="27"/>
  <c r="G86" i="27" s="1"/>
  <c r="C85" i="27"/>
  <c r="G85" i="27" s="1"/>
  <c r="C84" i="27"/>
  <c r="G84" i="27" s="1"/>
  <c r="C83" i="27"/>
  <c r="G83" i="27" s="1"/>
  <c r="C82" i="27"/>
  <c r="G82" i="27" s="1"/>
  <c r="C81" i="27"/>
  <c r="G81" i="27" s="1"/>
  <c r="C80" i="27"/>
  <c r="G80" i="27" s="1"/>
  <c r="C79" i="27"/>
  <c r="G79" i="27" s="1"/>
  <c r="C78" i="27"/>
  <c r="G78" i="27" s="1"/>
  <c r="C77" i="27"/>
  <c r="G77" i="27" s="1"/>
  <c r="C76" i="27"/>
  <c r="G76" i="27" s="1"/>
  <c r="C75" i="27"/>
  <c r="G75" i="27" s="1"/>
  <c r="C74" i="27"/>
  <c r="G74" i="27" s="1"/>
  <c r="C73" i="27"/>
  <c r="G73" i="27" s="1"/>
  <c r="C72" i="27"/>
  <c r="G72" i="27" s="1"/>
  <c r="C71" i="27"/>
  <c r="G71" i="27" s="1"/>
  <c r="C70" i="27"/>
  <c r="G70" i="27" s="1"/>
  <c r="C69" i="27"/>
  <c r="G69" i="27" s="1"/>
  <c r="C68" i="27"/>
  <c r="G68" i="27" s="1"/>
  <c r="C67" i="27"/>
  <c r="G67" i="27" s="1"/>
  <c r="C66" i="27"/>
  <c r="G66" i="27" s="1"/>
  <c r="C65" i="27"/>
  <c r="G65" i="27" s="1"/>
  <c r="C64" i="27"/>
  <c r="G64" i="27" s="1"/>
  <c r="C63" i="27"/>
  <c r="G63" i="27" s="1"/>
  <c r="C62" i="27"/>
  <c r="G62" i="27" s="1"/>
  <c r="C61" i="27"/>
  <c r="G61" i="27" s="1"/>
  <c r="C60" i="27"/>
  <c r="G60" i="27" s="1"/>
  <c r="C59" i="27"/>
  <c r="G59" i="27" s="1"/>
  <c r="C58" i="27"/>
  <c r="G58" i="27" s="1"/>
  <c r="C57" i="27"/>
  <c r="G57" i="27" s="1"/>
  <c r="C56" i="27"/>
  <c r="G56" i="27" s="1"/>
  <c r="C55" i="27"/>
  <c r="G55" i="27" s="1"/>
  <c r="C54" i="27"/>
  <c r="G54" i="27" s="1"/>
  <c r="C53" i="27"/>
  <c r="G53" i="27" s="1"/>
  <c r="C52" i="27"/>
  <c r="G52" i="27" s="1"/>
  <c r="C51" i="27"/>
  <c r="G51" i="27" s="1"/>
  <c r="B146" i="26"/>
  <c r="A157" i="26" s="1"/>
  <c r="C145" i="26"/>
  <c r="G145" i="26" s="1"/>
  <c r="C144" i="26"/>
  <c r="G144" i="26" s="1"/>
  <c r="C143" i="26"/>
  <c r="G143" i="26" s="1"/>
  <c r="C142" i="26"/>
  <c r="G142" i="26" s="1"/>
  <c r="C141" i="26"/>
  <c r="G141" i="26" s="1"/>
  <c r="C140" i="26"/>
  <c r="G140" i="26" s="1"/>
  <c r="B139" i="26"/>
  <c r="F138" i="26"/>
  <c r="C138" i="26" s="1"/>
  <c r="G138" i="26" s="1"/>
  <c r="C137" i="26"/>
  <c r="G137" i="26" s="1"/>
  <c r="C136" i="26"/>
  <c r="G136" i="26" s="1"/>
  <c r="C135" i="26"/>
  <c r="G135" i="26" s="1"/>
  <c r="C134" i="26"/>
  <c r="G134" i="26" s="1"/>
  <c r="C133" i="26"/>
  <c r="G133" i="26" s="1"/>
  <c r="C132" i="26"/>
  <c r="G132" i="26" s="1"/>
  <c r="C131" i="26"/>
  <c r="G131" i="26" s="1"/>
  <c r="C130" i="26"/>
  <c r="G130" i="26" s="1"/>
  <c r="C129" i="26"/>
  <c r="G129" i="26" s="1"/>
  <c r="C128" i="26"/>
  <c r="G128" i="26" s="1"/>
  <c r="C127" i="26"/>
  <c r="G127" i="26" s="1"/>
  <c r="C126" i="26"/>
  <c r="G126" i="26" s="1"/>
  <c r="C125" i="26"/>
  <c r="G125" i="26" s="1"/>
  <c r="F124" i="26"/>
  <c r="C124" i="26" s="1"/>
  <c r="G124" i="26" s="1"/>
  <c r="C123" i="26"/>
  <c r="G123" i="26" s="1"/>
  <c r="C122" i="26"/>
  <c r="G122" i="26" s="1"/>
  <c r="C121" i="26"/>
  <c r="G121" i="26" s="1"/>
  <c r="C120" i="26"/>
  <c r="G120" i="26" s="1"/>
  <c r="C119" i="26"/>
  <c r="G119" i="26" s="1"/>
  <c r="C118" i="26"/>
  <c r="G118" i="26" s="1"/>
  <c r="C117" i="26"/>
  <c r="G117" i="26" s="1"/>
  <c r="C116" i="26"/>
  <c r="G116" i="26" s="1"/>
  <c r="C115" i="26"/>
  <c r="G115" i="26" s="1"/>
  <c r="C114" i="26"/>
  <c r="G114" i="26" s="1"/>
  <c r="C113" i="26"/>
  <c r="G113" i="26" s="1"/>
  <c r="C112" i="26"/>
  <c r="G112" i="26" s="1"/>
  <c r="C111" i="26"/>
  <c r="G111" i="26" s="1"/>
  <c r="C110" i="26"/>
  <c r="G110" i="26" s="1"/>
  <c r="C109" i="26"/>
  <c r="G109" i="26" s="1"/>
  <c r="C108" i="26"/>
  <c r="G108" i="26" s="1"/>
  <c r="C107" i="26"/>
  <c r="G107" i="26" s="1"/>
  <c r="C106" i="26"/>
  <c r="G106" i="26" s="1"/>
  <c r="C105" i="26"/>
  <c r="G105" i="26" s="1"/>
  <c r="C104" i="26"/>
  <c r="G104" i="26" s="1"/>
  <c r="C103" i="26"/>
  <c r="G103" i="26" s="1"/>
  <c r="C102" i="26"/>
  <c r="G102" i="26" s="1"/>
  <c r="C101" i="26"/>
  <c r="G101" i="26" s="1"/>
  <c r="C100" i="26"/>
  <c r="G100" i="26" s="1"/>
  <c r="C99" i="26"/>
  <c r="G99" i="26" s="1"/>
  <c r="C98" i="26"/>
  <c r="G98" i="26" s="1"/>
  <c r="C97" i="26"/>
  <c r="G97" i="26" s="1"/>
  <c r="C96" i="26"/>
  <c r="G96" i="26" s="1"/>
  <c r="C95" i="26"/>
  <c r="G95" i="26" s="1"/>
  <c r="C94" i="26"/>
  <c r="G94" i="26" s="1"/>
  <c r="C93" i="26"/>
  <c r="G93" i="26" s="1"/>
  <c r="C92" i="26"/>
  <c r="G92" i="26" s="1"/>
  <c r="C91" i="26"/>
  <c r="G91" i="26" s="1"/>
  <c r="C90" i="26"/>
  <c r="G90" i="26" s="1"/>
  <c r="C89" i="26"/>
  <c r="G89" i="26" s="1"/>
  <c r="C88" i="26"/>
  <c r="G88" i="26" s="1"/>
  <c r="C87" i="26"/>
  <c r="G87" i="26" s="1"/>
  <c r="C86" i="26"/>
  <c r="G86" i="26" s="1"/>
  <c r="C85" i="26"/>
  <c r="G85" i="26" s="1"/>
  <c r="C84" i="26"/>
  <c r="G84" i="26" s="1"/>
  <c r="C83" i="26"/>
  <c r="G83" i="26" s="1"/>
  <c r="C82" i="26"/>
  <c r="G82" i="26" s="1"/>
  <c r="C81" i="26"/>
  <c r="G81" i="26" s="1"/>
  <c r="C80" i="26"/>
  <c r="G80" i="26" s="1"/>
  <c r="C79" i="26"/>
  <c r="G79" i="26" s="1"/>
  <c r="C78" i="26"/>
  <c r="G78" i="26" s="1"/>
  <c r="C77" i="26"/>
  <c r="G77" i="26" s="1"/>
  <c r="C76" i="26"/>
  <c r="G76" i="26" s="1"/>
  <c r="C75" i="26"/>
  <c r="G75" i="26" s="1"/>
  <c r="C74" i="26"/>
  <c r="G74" i="26" s="1"/>
  <c r="C73" i="26"/>
  <c r="G73" i="26" s="1"/>
  <c r="C72" i="26"/>
  <c r="G72" i="26" s="1"/>
  <c r="C71" i="26"/>
  <c r="G71" i="26" s="1"/>
  <c r="C70" i="26"/>
  <c r="G70" i="26" s="1"/>
  <c r="C69" i="26"/>
  <c r="G69" i="26" s="1"/>
  <c r="C68" i="26"/>
  <c r="G68" i="26" s="1"/>
  <c r="C67" i="26"/>
  <c r="G67" i="26" s="1"/>
  <c r="C66" i="26"/>
  <c r="G66" i="26" s="1"/>
  <c r="C65" i="26"/>
  <c r="G65" i="26" s="1"/>
  <c r="C64" i="26"/>
  <c r="G64" i="26" s="1"/>
  <c r="C63" i="26"/>
  <c r="G63" i="26" s="1"/>
  <c r="C62" i="26"/>
  <c r="G62" i="26" s="1"/>
  <c r="C61" i="26"/>
  <c r="G61" i="26" s="1"/>
  <c r="C60" i="26"/>
  <c r="G60" i="26" s="1"/>
  <c r="C59" i="26"/>
  <c r="G59" i="26" s="1"/>
  <c r="C58" i="26"/>
  <c r="G58" i="26" s="1"/>
  <c r="C57" i="26"/>
  <c r="G57" i="26" s="1"/>
  <c r="C56" i="26"/>
  <c r="G56" i="26" s="1"/>
  <c r="C55" i="26"/>
  <c r="G55" i="26" s="1"/>
  <c r="C54" i="26"/>
  <c r="G54" i="26" s="1"/>
  <c r="C53" i="26"/>
  <c r="G53" i="26" s="1"/>
  <c r="C52" i="26"/>
  <c r="G52" i="26" s="1"/>
  <c r="C51" i="26"/>
  <c r="G51" i="26" s="1"/>
  <c r="C50" i="26"/>
  <c r="G50" i="26" s="1"/>
  <c r="C49" i="26"/>
  <c r="G49" i="26" s="1"/>
  <c r="C48" i="26"/>
  <c r="G48" i="26" s="1"/>
  <c r="C47" i="26"/>
  <c r="G47" i="26" s="1"/>
  <c r="C46" i="26"/>
  <c r="G46" i="26" s="1"/>
  <c r="F221" i="25"/>
  <c r="F186" i="25"/>
  <c r="C115" i="25"/>
  <c r="G115" i="25" s="1"/>
  <c r="F114" i="25"/>
  <c r="C114" i="25" s="1"/>
  <c r="G114" i="25" s="1"/>
  <c r="C113" i="25"/>
  <c r="G113" i="25" s="1"/>
  <c r="C112" i="25"/>
  <c r="G112" i="25" s="1"/>
  <c r="C111" i="25"/>
  <c r="G111" i="25" s="1"/>
  <c r="C110" i="25"/>
  <c r="G110" i="25" s="1"/>
  <c r="C109" i="25"/>
  <c r="G109" i="25" s="1"/>
  <c r="C108" i="25"/>
  <c r="G108" i="25" s="1"/>
  <c r="C107" i="25"/>
  <c r="G107" i="25" s="1"/>
  <c r="C106" i="25"/>
  <c r="G106" i="25" s="1"/>
  <c r="C105" i="25"/>
  <c r="G105" i="25" s="1"/>
  <c r="C104" i="25"/>
  <c r="G104" i="25" s="1"/>
  <c r="C103" i="25"/>
  <c r="G103" i="25" s="1"/>
  <c r="C102" i="25"/>
  <c r="G102" i="25" s="1"/>
  <c r="C101" i="25"/>
  <c r="G101" i="25" s="1"/>
  <c r="C100" i="25"/>
  <c r="G100" i="25" s="1"/>
  <c r="C99" i="25"/>
  <c r="G99" i="25" s="1"/>
  <c r="C98" i="25"/>
  <c r="G98" i="25" s="1"/>
  <c r="C97" i="25"/>
  <c r="G97" i="25" s="1"/>
  <c r="C96" i="25"/>
  <c r="G96" i="25" s="1"/>
  <c r="C95" i="25"/>
  <c r="G95" i="25" s="1"/>
  <c r="C94" i="25"/>
  <c r="G94" i="25" s="1"/>
  <c r="C93" i="25"/>
  <c r="G93" i="25" s="1"/>
  <c r="C92" i="25"/>
  <c r="G92" i="25" s="1"/>
  <c r="C91" i="25"/>
  <c r="G91" i="25" s="1"/>
  <c r="C90" i="25"/>
  <c r="G90" i="25" s="1"/>
  <c r="C89" i="25"/>
  <c r="G89" i="25" s="1"/>
  <c r="C88" i="25"/>
  <c r="G88" i="25" s="1"/>
  <c r="C87" i="25"/>
  <c r="G87" i="25" s="1"/>
  <c r="C86" i="25"/>
  <c r="G86" i="25" s="1"/>
  <c r="C85" i="25"/>
  <c r="G85" i="25" s="1"/>
  <c r="C84" i="25"/>
  <c r="G84" i="25" s="1"/>
  <c r="C83" i="25"/>
  <c r="G83" i="25" s="1"/>
  <c r="C82" i="25"/>
  <c r="G82" i="25" s="1"/>
  <c r="C81" i="25"/>
  <c r="G81" i="25" s="1"/>
  <c r="C80" i="25"/>
  <c r="G80" i="25" s="1"/>
  <c r="C79" i="25"/>
  <c r="G79" i="25" s="1"/>
  <c r="C78" i="25"/>
  <c r="G78" i="25" s="1"/>
  <c r="C77" i="25"/>
  <c r="G77" i="25" s="1"/>
  <c r="C76" i="25"/>
  <c r="G76" i="25" s="1"/>
  <c r="C75" i="25"/>
  <c r="G75" i="25" s="1"/>
  <c r="C74" i="25"/>
  <c r="G74" i="25" s="1"/>
  <c r="C73" i="25"/>
  <c r="G73" i="25" s="1"/>
  <c r="C72" i="25"/>
  <c r="G72" i="25" s="1"/>
  <c r="C71" i="25"/>
  <c r="G71" i="25" s="1"/>
  <c r="C70" i="25"/>
  <c r="G70" i="25" s="1"/>
  <c r="C69" i="25"/>
  <c r="G69" i="25" s="1"/>
  <c r="C68" i="25"/>
  <c r="G68" i="25" s="1"/>
  <c r="C67" i="25"/>
  <c r="G67" i="25" s="1"/>
  <c r="C66" i="25"/>
  <c r="G66" i="25" s="1"/>
  <c r="C65" i="25"/>
  <c r="G65" i="25" s="1"/>
  <c r="C64" i="25"/>
  <c r="G64" i="25" s="1"/>
  <c r="C63" i="25"/>
  <c r="G63" i="25" s="1"/>
  <c r="C62" i="25"/>
  <c r="G62" i="25" s="1"/>
  <c r="C61" i="25"/>
  <c r="G61" i="25" s="1"/>
  <c r="C60" i="25"/>
  <c r="G60" i="25" s="1"/>
  <c r="C59" i="25"/>
  <c r="G59" i="25" s="1"/>
  <c r="C58" i="25"/>
  <c r="G58" i="25" s="1"/>
  <c r="C57" i="25"/>
  <c r="G57" i="25" s="1"/>
  <c r="C56" i="25"/>
  <c r="G56" i="25" s="1"/>
  <c r="C55" i="25"/>
  <c r="G55" i="25" s="1"/>
  <c r="C54" i="25"/>
  <c r="G54" i="25" s="1"/>
  <c r="C53" i="25"/>
  <c r="G53" i="25" s="1"/>
  <c r="C52" i="25"/>
  <c r="G52" i="25" s="1"/>
  <c r="C51" i="25"/>
  <c r="G51" i="25" s="1"/>
  <c r="C50" i="25"/>
  <c r="G50" i="25" s="1"/>
  <c r="C49" i="25"/>
  <c r="G49" i="25" s="1"/>
  <c r="C48" i="25"/>
  <c r="G48" i="25" s="1"/>
  <c r="C47" i="25"/>
  <c r="G47" i="25" s="1"/>
  <c r="C46" i="25"/>
  <c r="G46" i="25" s="1"/>
  <c r="C45" i="25"/>
  <c r="G45" i="25" s="1"/>
  <c r="C44" i="25"/>
  <c r="G44" i="25" s="1"/>
  <c r="C43" i="25"/>
  <c r="G43" i="25" s="1"/>
  <c r="C42" i="25"/>
  <c r="G42" i="25" s="1"/>
  <c r="C41" i="25"/>
  <c r="G41" i="25" s="1"/>
  <c r="C40" i="25"/>
  <c r="G40" i="25" s="1"/>
  <c r="C39" i="25"/>
  <c r="G39" i="25" s="1"/>
  <c r="C38" i="25"/>
  <c r="G38" i="25" s="1"/>
  <c r="C37" i="25"/>
  <c r="G37" i="25" s="1"/>
  <c r="C36" i="25"/>
  <c r="G36" i="25" s="1"/>
  <c r="C35" i="25"/>
  <c r="G35" i="25" s="1"/>
  <c r="C34" i="25"/>
  <c r="G34" i="25" s="1"/>
  <c r="C33" i="25"/>
  <c r="G33" i="25" s="1"/>
  <c r="C32" i="25"/>
  <c r="G32" i="25" s="1"/>
  <c r="C31" i="25"/>
  <c r="G31" i="25" s="1"/>
  <c r="C30" i="25"/>
  <c r="G30" i="25" s="1"/>
  <c r="C29" i="25"/>
  <c r="G29" i="25" s="1"/>
  <c r="C28" i="25"/>
  <c r="G28" i="25" s="1"/>
  <c r="C27" i="25"/>
  <c r="G27" i="25" s="1"/>
  <c r="C26" i="25"/>
  <c r="G26" i="25" s="1"/>
  <c r="C25" i="25"/>
  <c r="G25" i="25" s="1"/>
  <c r="C24" i="25"/>
  <c r="G24" i="25" s="1"/>
  <c r="C23" i="25"/>
  <c r="G23" i="25" s="1"/>
  <c r="C22" i="25"/>
  <c r="G22" i="25" s="1"/>
  <c r="G116" i="25" l="1"/>
  <c r="G146" i="26"/>
  <c r="D157" i="26" s="1"/>
  <c r="G139" i="26"/>
  <c r="D158" i="26" s="1"/>
  <c r="B147" i="26"/>
  <c r="G151" i="27"/>
  <c r="D162" i="27" s="1"/>
  <c r="A164" i="27"/>
  <c r="G144" i="27"/>
  <c r="B152" i="27"/>
  <c r="A158" i="26"/>
  <c r="A159" i="26" s="1"/>
  <c r="F224" i="24"/>
  <c r="F162" i="24"/>
  <c r="F161" i="24"/>
  <c r="F160" i="24"/>
  <c r="G118" i="24"/>
  <c r="B117" i="24"/>
  <c r="C116" i="24"/>
  <c r="G116" i="24" s="1"/>
  <c r="F115" i="24"/>
  <c r="C115" i="24" s="1"/>
  <c r="G115" i="24" s="1"/>
  <c r="C114" i="24"/>
  <c r="G114" i="24" s="1"/>
  <c r="C113" i="24"/>
  <c r="G113" i="24" s="1"/>
  <c r="C112" i="24"/>
  <c r="G112" i="24" s="1"/>
  <c r="C111" i="24"/>
  <c r="G111" i="24" s="1"/>
  <c r="C110" i="24"/>
  <c r="G110" i="24" s="1"/>
  <c r="C109" i="24"/>
  <c r="G109" i="24" s="1"/>
  <c r="C108" i="24"/>
  <c r="G108" i="24" s="1"/>
  <c r="C107" i="24"/>
  <c r="G107" i="24" s="1"/>
  <c r="C106" i="24"/>
  <c r="G106" i="24" s="1"/>
  <c r="C105" i="24"/>
  <c r="G105" i="24" s="1"/>
  <c r="C104" i="24"/>
  <c r="G104" i="24" s="1"/>
  <c r="C103" i="24"/>
  <c r="G103" i="24" s="1"/>
  <c r="C102" i="24"/>
  <c r="G102" i="24" s="1"/>
  <c r="C101" i="24"/>
  <c r="G101" i="24" s="1"/>
  <c r="C100" i="24"/>
  <c r="G100" i="24" s="1"/>
  <c r="C99" i="24"/>
  <c r="G99" i="24" s="1"/>
  <c r="C98" i="24"/>
  <c r="G98" i="24" s="1"/>
  <c r="C97" i="24"/>
  <c r="G97" i="24" s="1"/>
  <c r="C96" i="24"/>
  <c r="G96" i="24" s="1"/>
  <c r="C95" i="24"/>
  <c r="G95" i="24" s="1"/>
  <c r="C94" i="24"/>
  <c r="G94" i="24" s="1"/>
  <c r="C93" i="24"/>
  <c r="G93" i="24" s="1"/>
  <c r="C92" i="24"/>
  <c r="G92" i="24" s="1"/>
  <c r="C91" i="24"/>
  <c r="G91" i="24" s="1"/>
  <c r="C90" i="24"/>
  <c r="G90" i="24" s="1"/>
  <c r="C89" i="24"/>
  <c r="G89" i="24" s="1"/>
  <c r="C88" i="24"/>
  <c r="G88" i="24" s="1"/>
  <c r="C87" i="24"/>
  <c r="G87" i="24" s="1"/>
  <c r="C86" i="24"/>
  <c r="G86" i="24" s="1"/>
  <c r="C85" i="24"/>
  <c r="G85" i="24" s="1"/>
  <c r="C84" i="24"/>
  <c r="G84" i="24" s="1"/>
  <c r="C83" i="24"/>
  <c r="G83" i="24" s="1"/>
  <c r="C82" i="24"/>
  <c r="G82" i="24" s="1"/>
  <c r="C81" i="24"/>
  <c r="G81" i="24" s="1"/>
  <c r="C80" i="24"/>
  <c r="G80" i="24" s="1"/>
  <c r="C79" i="24"/>
  <c r="G79" i="24" s="1"/>
  <c r="C78" i="24"/>
  <c r="G78" i="24" s="1"/>
  <c r="C77" i="24"/>
  <c r="G77" i="24" s="1"/>
  <c r="C76" i="24"/>
  <c r="G76" i="24" s="1"/>
  <c r="C75" i="24"/>
  <c r="G75" i="24" s="1"/>
  <c r="C74" i="24"/>
  <c r="G74" i="24" s="1"/>
  <c r="C73" i="24"/>
  <c r="G73" i="24" s="1"/>
  <c r="C72" i="24"/>
  <c r="G72" i="24" s="1"/>
  <c r="C71" i="24"/>
  <c r="G71" i="24" s="1"/>
  <c r="C70" i="24"/>
  <c r="G70" i="24" s="1"/>
  <c r="C69" i="24"/>
  <c r="G69" i="24" s="1"/>
  <c r="C68" i="24"/>
  <c r="G68" i="24" s="1"/>
  <c r="C67" i="24"/>
  <c r="G67" i="24" s="1"/>
  <c r="C66" i="24"/>
  <c r="G66" i="24" s="1"/>
  <c r="C65" i="24"/>
  <c r="G65" i="24" s="1"/>
  <c r="C64" i="24"/>
  <c r="G64" i="24" s="1"/>
  <c r="C63" i="24"/>
  <c r="G63" i="24" s="1"/>
  <c r="C62" i="24"/>
  <c r="G62" i="24" s="1"/>
  <c r="C61" i="24"/>
  <c r="G61" i="24" s="1"/>
  <c r="C60" i="24"/>
  <c r="G60" i="24" s="1"/>
  <c r="C59" i="24"/>
  <c r="G59" i="24" s="1"/>
  <c r="C58" i="24"/>
  <c r="G58" i="24" s="1"/>
  <c r="C57" i="24"/>
  <c r="G57" i="24" s="1"/>
  <c r="C56" i="24"/>
  <c r="G56" i="24" s="1"/>
  <c r="C55" i="24"/>
  <c r="G55" i="24" s="1"/>
  <c r="C54" i="24"/>
  <c r="G54" i="24" s="1"/>
  <c r="C53" i="24"/>
  <c r="G53" i="24" s="1"/>
  <c r="C52" i="24"/>
  <c r="G52" i="24" s="1"/>
  <c r="C51" i="24"/>
  <c r="G51" i="24" s="1"/>
  <c r="C50" i="24"/>
  <c r="G50" i="24" s="1"/>
  <c r="C49" i="24"/>
  <c r="G49" i="24" s="1"/>
  <c r="C48" i="24"/>
  <c r="G48" i="24" s="1"/>
  <c r="C47" i="24"/>
  <c r="G47" i="24" s="1"/>
  <c r="C46" i="24"/>
  <c r="G46" i="24" s="1"/>
  <c r="C45" i="24"/>
  <c r="G45" i="24" s="1"/>
  <c r="C44" i="24"/>
  <c r="G44" i="24" s="1"/>
  <c r="C43" i="24"/>
  <c r="G43" i="24" s="1"/>
  <c r="C42" i="24"/>
  <c r="G42" i="24" s="1"/>
  <c r="C41" i="24"/>
  <c r="G41" i="24" s="1"/>
  <c r="C40" i="24"/>
  <c r="G40" i="24" s="1"/>
  <c r="C39" i="24"/>
  <c r="G39" i="24" s="1"/>
  <c r="C38" i="24"/>
  <c r="G38" i="24" s="1"/>
  <c r="C37" i="24"/>
  <c r="G37" i="24" s="1"/>
  <c r="C36" i="24"/>
  <c r="G36" i="24" s="1"/>
  <c r="C35" i="24"/>
  <c r="G35" i="24" s="1"/>
  <c r="C34" i="24"/>
  <c r="G34" i="24" s="1"/>
  <c r="C33" i="24"/>
  <c r="G33" i="24" s="1"/>
  <c r="C32" i="24"/>
  <c r="G32" i="24" s="1"/>
  <c r="C31" i="24"/>
  <c r="G31" i="24" s="1"/>
  <c r="C30" i="24"/>
  <c r="G30" i="24" s="1"/>
  <c r="C29" i="24"/>
  <c r="G29" i="24" s="1"/>
  <c r="C28" i="24"/>
  <c r="G28" i="24" s="1"/>
  <c r="C27" i="24"/>
  <c r="G27" i="24" s="1"/>
  <c r="C26" i="24"/>
  <c r="G26" i="24" s="1"/>
  <c r="C25" i="24"/>
  <c r="G25" i="24" s="1"/>
  <c r="C24" i="24"/>
  <c r="G24" i="24" s="1"/>
  <c r="C23" i="24"/>
  <c r="G23" i="24" s="1"/>
  <c r="F401" i="15"/>
  <c r="F376" i="15"/>
  <c r="B148" i="15"/>
  <c r="C142" i="15"/>
  <c r="B141" i="15"/>
  <c r="C63" i="28"/>
  <c r="G63" i="28" s="1"/>
  <c r="C88" i="15"/>
  <c r="G88" i="15" s="1"/>
  <c r="C116" i="15"/>
  <c r="G116" i="15" s="1"/>
  <c r="C92" i="28"/>
  <c r="G92" i="28" s="1"/>
  <c r="G147" i="26" l="1"/>
  <c r="G152" i="27"/>
  <c r="D163" i="27"/>
  <c r="F158" i="26"/>
  <c r="B158" i="26" s="1"/>
  <c r="F157" i="26"/>
  <c r="B157" i="26" s="1"/>
  <c r="G117" i="24"/>
  <c r="F11" i="15" l="1"/>
  <c r="F10" i="15"/>
  <c r="F173" i="28" l="1"/>
  <c r="F175" i="28"/>
  <c r="F174" i="28"/>
  <c r="F12" i="15" l="1"/>
  <c r="F273" i="15"/>
  <c r="F275" i="15" s="1"/>
  <c r="F214" i="28"/>
  <c r="F215" i="28" s="1"/>
  <c r="E31" i="9" l="1"/>
  <c r="C143" i="15" l="1"/>
  <c r="G143" i="15" s="1"/>
  <c r="G116" i="29" l="1"/>
  <c r="G114" i="29" l="1"/>
  <c r="D9" i="13"/>
  <c r="D98" i="9" l="1"/>
  <c r="F252" i="15" l="1"/>
  <c r="F240" i="15"/>
  <c r="F236" i="15"/>
  <c r="G120" i="29" l="1"/>
  <c r="C137" i="15" l="1"/>
  <c r="G137" i="15" s="1"/>
  <c r="C136" i="15"/>
  <c r="G136" i="15" s="1"/>
  <c r="C135" i="15"/>
  <c r="C121" i="15"/>
  <c r="G121" i="15" s="1"/>
  <c r="C112" i="15"/>
  <c r="G112" i="15" s="1"/>
  <c r="C105" i="15"/>
  <c r="G105" i="15" s="1"/>
  <c r="C55" i="15"/>
  <c r="G55" i="15" s="1"/>
  <c r="C68" i="15"/>
  <c r="G68" i="15" s="1"/>
  <c r="C70" i="15"/>
  <c r="G70" i="15" s="1"/>
  <c r="C57" i="15"/>
  <c r="G57" i="15" s="1"/>
  <c r="F11" i="27" l="1"/>
  <c r="F230" i="27"/>
  <c r="F229" i="27"/>
  <c r="F228" i="27"/>
  <c r="F227" i="27"/>
  <c r="F226" i="27"/>
  <c r="F225" i="26"/>
  <c r="F224" i="26"/>
  <c r="F223" i="26"/>
  <c r="F222" i="26"/>
  <c r="F221" i="26"/>
  <c r="F13" i="26"/>
  <c r="F176" i="25"/>
  <c r="F175" i="25"/>
  <c r="F174" i="25"/>
  <c r="F180" i="24"/>
  <c r="F179" i="24"/>
  <c r="F178" i="24"/>
  <c r="F254" i="15" l="1"/>
  <c r="F194" i="28"/>
  <c r="F193" i="28"/>
  <c r="F192" i="28"/>
  <c r="F135" i="28" l="1"/>
  <c r="D126" i="11" l="1"/>
  <c r="B117" i="28" l="1"/>
  <c r="F370" i="27" l="1"/>
  <c r="F368" i="27"/>
  <c r="F366" i="27"/>
  <c r="F364" i="27"/>
  <c r="F362" i="27"/>
  <c r="F344" i="27"/>
  <c r="F343" i="27"/>
  <c r="F342" i="27"/>
  <c r="F341" i="27"/>
  <c r="F340" i="27"/>
  <c r="F339" i="27"/>
  <c r="F338" i="27"/>
  <c r="F337" i="27"/>
  <c r="F336" i="27"/>
  <c r="F335" i="27"/>
  <c r="F181" i="27"/>
  <c r="F180" i="27"/>
  <c r="F353" i="26"/>
  <c r="F351" i="26"/>
  <c r="F349" i="26"/>
  <c r="F347" i="26"/>
  <c r="F345" i="26"/>
  <c r="F328" i="26"/>
  <c r="F327" i="26"/>
  <c r="F326" i="26"/>
  <c r="F325" i="26"/>
  <c r="F324" i="26"/>
  <c r="F323" i="26"/>
  <c r="F322" i="26"/>
  <c r="F321" i="26"/>
  <c r="F320" i="26"/>
  <c r="F319" i="26"/>
  <c r="F176" i="26"/>
  <c r="F175" i="26"/>
  <c r="H67" i="18"/>
  <c r="H68" i="18"/>
  <c r="H74" i="18"/>
  <c r="H76" i="18"/>
  <c r="H77" i="18"/>
  <c r="H82" i="18"/>
  <c r="H86" i="18"/>
  <c r="H85" i="18"/>
  <c r="H94" i="18"/>
  <c r="H100" i="18"/>
  <c r="H101" i="18"/>
  <c r="H102" i="18"/>
  <c r="H103" i="18"/>
  <c r="H105" i="18"/>
  <c r="E105" i="18"/>
  <c r="E103" i="18"/>
  <c r="E102" i="18"/>
  <c r="E101" i="18"/>
  <c r="E100" i="18"/>
  <c r="E95" i="18"/>
  <c r="E94" i="18"/>
  <c r="E86" i="18"/>
  <c r="E85" i="18"/>
  <c r="E82" i="18"/>
  <c r="E79" i="18"/>
  <c r="E78" i="18"/>
  <c r="E77" i="18"/>
  <c r="E76" i="18"/>
  <c r="E74" i="18"/>
  <c r="E68" i="18"/>
  <c r="E67" i="18"/>
  <c r="F245" i="25"/>
  <c r="F244" i="25"/>
  <c r="F243" i="25"/>
  <c r="F242" i="25"/>
  <c r="F241" i="25"/>
  <c r="B117" i="25"/>
  <c r="A126" i="25" s="1"/>
  <c r="F248" i="24"/>
  <c r="F247" i="24"/>
  <c r="F246" i="24"/>
  <c r="F245" i="24"/>
  <c r="F244" i="24"/>
  <c r="A127" i="24"/>
  <c r="F378" i="15"/>
  <c r="F375" i="15"/>
  <c r="F374" i="15"/>
  <c r="F373" i="15"/>
  <c r="F372" i="15"/>
  <c r="F371" i="15"/>
  <c r="F370" i="15"/>
  <c r="F369" i="15"/>
  <c r="F367" i="15"/>
  <c r="C147" i="15"/>
  <c r="G147" i="15" s="1"/>
  <c r="C146" i="15"/>
  <c r="G146" i="15" s="1"/>
  <c r="C145" i="15"/>
  <c r="G145" i="15" s="1"/>
  <c r="C144" i="15"/>
  <c r="G144" i="15" s="1"/>
  <c r="C140" i="15"/>
  <c r="C139" i="15"/>
  <c r="G139" i="15" s="1"/>
  <c r="C138" i="15"/>
  <c r="G138" i="15" s="1"/>
  <c r="C134" i="15"/>
  <c r="G134" i="15" s="1"/>
  <c r="C133" i="15"/>
  <c r="G133" i="15" s="1"/>
  <c r="C132" i="15"/>
  <c r="G132" i="15" s="1"/>
  <c r="C131" i="15"/>
  <c r="G131" i="15" s="1"/>
  <c r="C130" i="15"/>
  <c r="G130" i="15" s="1"/>
  <c r="C129" i="15"/>
  <c r="G129" i="15" s="1"/>
  <c r="C128" i="15"/>
  <c r="G128" i="15" s="1"/>
  <c r="C127" i="15"/>
  <c r="G127" i="15" s="1"/>
  <c r="C126" i="15"/>
  <c r="G126" i="15" s="1"/>
  <c r="C125" i="15"/>
  <c r="G125" i="15" s="1"/>
  <c r="C124" i="15"/>
  <c r="G124" i="15" s="1"/>
  <c r="C123" i="15"/>
  <c r="G123" i="15" s="1"/>
  <c r="C122" i="15"/>
  <c r="G122" i="15" s="1"/>
  <c r="C120" i="15"/>
  <c r="G120" i="15" s="1"/>
  <c r="C119" i="15"/>
  <c r="G119" i="15" s="1"/>
  <c r="C118" i="15"/>
  <c r="G118" i="15" s="1"/>
  <c r="C117" i="15"/>
  <c r="G117" i="15" s="1"/>
  <c r="C115" i="15"/>
  <c r="G115" i="15" s="1"/>
  <c r="C114" i="15"/>
  <c r="G114" i="15" s="1"/>
  <c r="C113" i="15"/>
  <c r="G113" i="15" s="1"/>
  <c r="C111" i="15"/>
  <c r="G111" i="15" s="1"/>
  <c r="C110" i="15"/>
  <c r="G110" i="15" s="1"/>
  <c r="C109" i="15"/>
  <c r="G109" i="15" s="1"/>
  <c r="C108" i="15"/>
  <c r="G108" i="15" s="1"/>
  <c r="C107" i="15"/>
  <c r="G107" i="15" s="1"/>
  <c r="C106" i="15"/>
  <c r="G106" i="15" s="1"/>
  <c r="C104" i="15"/>
  <c r="G104" i="15" s="1"/>
  <c r="C103" i="15"/>
  <c r="G103" i="15" s="1"/>
  <c r="C102" i="15"/>
  <c r="G102" i="15" s="1"/>
  <c r="C101" i="15"/>
  <c r="G101" i="15" s="1"/>
  <c r="C100" i="15"/>
  <c r="G100" i="15" s="1"/>
  <c r="C99" i="15"/>
  <c r="G99" i="15" s="1"/>
  <c r="C98" i="15"/>
  <c r="G98" i="15" s="1"/>
  <c r="C97" i="15"/>
  <c r="G97" i="15" s="1"/>
  <c r="C96" i="15"/>
  <c r="G96" i="15" s="1"/>
  <c r="C95" i="15"/>
  <c r="G95" i="15" s="1"/>
  <c r="C94" i="15"/>
  <c r="G94" i="15" s="1"/>
  <c r="C93" i="15"/>
  <c r="G93" i="15" s="1"/>
  <c r="C92" i="15"/>
  <c r="G92" i="15" s="1"/>
  <c r="C91" i="15"/>
  <c r="G91" i="15" s="1"/>
  <c r="C90" i="15"/>
  <c r="G90" i="15" s="1"/>
  <c r="C89" i="15"/>
  <c r="G89" i="15" s="1"/>
  <c r="C87" i="15"/>
  <c r="G87" i="15" s="1"/>
  <c r="C86" i="15"/>
  <c r="G86" i="15" s="1"/>
  <c r="C85" i="15"/>
  <c r="G85" i="15" s="1"/>
  <c r="C84" i="15"/>
  <c r="G84" i="15" s="1"/>
  <c r="C83" i="15"/>
  <c r="G83" i="15" s="1"/>
  <c r="C82" i="15"/>
  <c r="G82" i="15" s="1"/>
  <c r="C81" i="15"/>
  <c r="G81" i="15" s="1"/>
  <c r="C80" i="15"/>
  <c r="G80" i="15" s="1"/>
  <c r="C79" i="15"/>
  <c r="G79" i="15" s="1"/>
  <c r="C78" i="15"/>
  <c r="G78" i="15" s="1"/>
  <c r="C77" i="15"/>
  <c r="G77" i="15" s="1"/>
  <c r="C76" i="15"/>
  <c r="G76" i="15" s="1"/>
  <c r="C75" i="15"/>
  <c r="G75" i="15" s="1"/>
  <c r="C74" i="15"/>
  <c r="G74" i="15" s="1"/>
  <c r="C73" i="15"/>
  <c r="G73" i="15" s="1"/>
  <c r="C72" i="15"/>
  <c r="G72" i="15" s="1"/>
  <c r="C71" i="15"/>
  <c r="G71" i="15" s="1"/>
  <c r="C69" i="15"/>
  <c r="G69" i="15" s="1"/>
  <c r="C67" i="15"/>
  <c r="G67" i="15" s="1"/>
  <c r="C66" i="15"/>
  <c r="G66" i="15" s="1"/>
  <c r="C65" i="15"/>
  <c r="G65" i="15" s="1"/>
  <c r="C64" i="15"/>
  <c r="G64" i="15" s="1"/>
  <c r="C63" i="15"/>
  <c r="G63" i="15" s="1"/>
  <c r="C62" i="15"/>
  <c r="G62" i="15" s="1"/>
  <c r="C61" i="15"/>
  <c r="G61" i="15" s="1"/>
  <c r="C60" i="15"/>
  <c r="G60" i="15" s="1"/>
  <c r="C59" i="15"/>
  <c r="G59" i="15" s="1"/>
  <c r="C58" i="15"/>
  <c r="G58" i="15" s="1"/>
  <c r="C56" i="15"/>
  <c r="G56" i="15" s="1"/>
  <c r="C54" i="15"/>
  <c r="G54" i="15" s="1"/>
  <c r="C53" i="15"/>
  <c r="G53" i="15" s="1"/>
  <c r="C52" i="15"/>
  <c r="G52" i="15" s="1"/>
  <c r="C51" i="15"/>
  <c r="G51" i="15" s="1"/>
  <c r="C50" i="15"/>
  <c r="G50" i="15" s="1"/>
  <c r="C49" i="15"/>
  <c r="G49" i="15" s="1"/>
  <c r="C48" i="15"/>
  <c r="G48" i="15" s="1"/>
  <c r="G148" i="15" l="1"/>
  <c r="D159" i="15" s="1"/>
  <c r="F159" i="15" s="1"/>
  <c r="G141" i="15"/>
  <c r="D160" i="15" s="1"/>
  <c r="F160" i="15" s="1"/>
  <c r="F162" i="27"/>
  <c r="B162" i="27" s="1"/>
  <c r="B149" i="15"/>
  <c r="B159" i="15" l="1"/>
  <c r="B160" i="15"/>
  <c r="F163" i="27"/>
  <c r="B163" i="27" s="1"/>
  <c r="G149" i="15"/>
  <c r="A127" i="28" l="1"/>
  <c r="F278" i="28"/>
  <c r="C116" i="28"/>
  <c r="G116" i="28" s="1"/>
  <c r="C115" i="28"/>
  <c r="G115" i="28" s="1"/>
  <c r="C114" i="28"/>
  <c r="G114" i="28" s="1"/>
  <c r="C113" i="28"/>
  <c r="G113" i="28" s="1"/>
  <c r="C112" i="28"/>
  <c r="G112" i="28" s="1"/>
  <c r="C111" i="28"/>
  <c r="G111" i="28" s="1"/>
  <c r="C110" i="28"/>
  <c r="G110" i="28" s="1"/>
  <c r="C109" i="28"/>
  <c r="G109" i="28" s="1"/>
  <c r="C108" i="28"/>
  <c r="G108" i="28" s="1"/>
  <c r="C107" i="28"/>
  <c r="G107" i="28" s="1"/>
  <c r="C106" i="28"/>
  <c r="G106" i="28" s="1"/>
  <c r="C105" i="28"/>
  <c r="G105" i="28" s="1"/>
  <c r="C104" i="28"/>
  <c r="G104" i="28" s="1"/>
  <c r="C103" i="28"/>
  <c r="G103" i="28" s="1"/>
  <c r="C102" i="28"/>
  <c r="G102" i="28" s="1"/>
  <c r="C101" i="28"/>
  <c r="G101" i="28" s="1"/>
  <c r="C100" i="28"/>
  <c r="G100" i="28" s="1"/>
  <c r="C99" i="28"/>
  <c r="G99" i="28" s="1"/>
  <c r="C98" i="28"/>
  <c r="G98" i="28" s="1"/>
  <c r="C97" i="28"/>
  <c r="G97" i="28" s="1"/>
  <c r="C96" i="28"/>
  <c r="G96" i="28" s="1"/>
  <c r="C95" i="28"/>
  <c r="G95" i="28" s="1"/>
  <c r="C94" i="28"/>
  <c r="G94" i="28" s="1"/>
  <c r="C93" i="28"/>
  <c r="G93" i="28" s="1"/>
  <c r="C91" i="28"/>
  <c r="G91" i="28" s="1"/>
  <c r="C90" i="28"/>
  <c r="G90" i="28" s="1"/>
  <c r="C89" i="28"/>
  <c r="G89" i="28" s="1"/>
  <c r="C88" i="28"/>
  <c r="G88" i="28" s="1"/>
  <c r="C87" i="28"/>
  <c r="G87" i="28" s="1"/>
  <c r="C86" i="28"/>
  <c r="G86" i="28" s="1"/>
  <c r="C85" i="28"/>
  <c r="G85" i="28" s="1"/>
  <c r="C84" i="28"/>
  <c r="G84" i="28" s="1"/>
  <c r="C83" i="28"/>
  <c r="G83" i="28" s="1"/>
  <c r="C82" i="28"/>
  <c r="G82" i="28" s="1"/>
  <c r="C81" i="28"/>
  <c r="G81" i="28" s="1"/>
  <c r="C80" i="28"/>
  <c r="G80" i="28" s="1"/>
  <c r="C79" i="28"/>
  <c r="G79" i="28" s="1"/>
  <c r="C78" i="28"/>
  <c r="G78" i="28" s="1"/>
  <c r="C77" i="28"/>
  <c r="G77" i="28" s="1"/>
  <c r="C76" i="28"/>
  <c r="G76" i="28" s="1"/>
  <c r="C75" i="28"/>
  <c r="G75" i="28" s="1"/>
  <c r="C74" i="28"/>
  <c r="G74" i="28" s="1"/>
  <c r="C73" i="28"/>
  <c r="G73" i="28" s="1"/>
  <c r="C72" i="28"/>
  <c r="G72" i="28" s="1"/>
  <c r="C71" i="28"/>
  <c r="G71" i="28" s="1"/>
  <c r="C70" i="28"/>
  <c r="G70" i="28" s="1"/>
  <c r="C69" i="28"/>
  <c r="G69" i="28" s="1"/>
  <c r="C68" i="28"/>
  <c r="G68" i="28" s="1"/>
  <c r="C67" i="28"/>
  <c r="G67" i="28" s="1"/>
  <c r="C66" i="28"/>
  <c r="G66" i="28" s="1"/>
  <c r="C65" i="28"/>
  <c r="G65" i="28" s="1"/>
  <c r="C64" i="28"/>
  <c r="G64" i="28" s="1"/>
  <c r="C62" i="28"/>
  <c r="G62" i="28" s="1"/>
  <c r="C61" i="28"/>
  <c r="G61" i="28" s="1"/>
  <c r="C60" i="28"/>
  <c r="G60" i="28" s="1"/>
  <c r="C59" i="28"/>
  <c r="G59" i="28" s="1"/>
  <c r="C58" i="28"/>
  <c r="G58" i="28" s="1"/>
  <c r="C57" i="28"/>
  <c r="G57" i="28" s="1"/>
  <c r="C56" i="28"/>
  <c r="G56" i="28" s="1"/>
  <c r="C55" i="28"/>
  <c r="G55" i="28" s="1"/>
  <c r="C54" i="28"/>
  <c r="G54" i="28" s="1"/>
  <c r="C53" i="28"/>
  <c r="G53" i="28" s="1"/>
  <c r="C52" i="28"/>
  <c r="G52" i="28" s="1"/>
  <c r="C51" i="28"/>
  <c r="G51" i="28" s="1"/>
  <c r="C50" i="28"/>
  <c r="G50" i="28" s="1"/>
  <c r="C49" i="28"/>
  <c r="G49" i="28" s="1"/>
  <c r="C48" i="28"/>
  <c r="G48" i="28" s="1"/>
  <c r="C47" i="28"/>
  <c r="G47" i="28" s="1"/>
  <c r="C46" i="28"/>
  <c r="G46" i="28" s="1"/>
  <c r="C45" i="28"/>
  <c r="G45" i="28" s="1"/>
  <c r="C44" i="28"/>
  <c r="G44" i="28" s="1"/>
  <c r="C43" i="28"/>
  <c r="G43" i="28" s="1"/>
  <c r="C42" i="28"/>
  <c r="G42" i="28" s="1"/>
  <c r="C41" i="28"/>
  <c r="G41" i="28" s="1"/>
  <c r="C40" i="28"/>
  <c r="G40" i="28" s="1"/>
  <c r="C39" i="28"/>
  <c r="G39" i="28" s="1"/>
  <c r="C38" i="28"/>
  <c r="G38" i="28" s="1"/>
  <c r="C37" i="28"/>
  <c r="G37" i="28" s="1"/>
  <c r="C36" i="28"/>
  <c r="G36" i="28" s="1"/>
  <c r="C35" i="28"/>
  <c r="G35" i="28" s="1"/>
  <c r="C34" i="28"/>
  <c r="G34" i="28" s="1"/>
  <c r="C33" i="28"/>
  <c r="G33" i="28" s="1"/>
  <c r="C32" i="28"/>
  <c r="G32" i="28" s="1"/>
  <c r="C31" i="28"/>
  <c r="G31" i="28" s="1"/>
  <c r="C30" i="28"/>
  <c r="G30" i="28" s="1"/>
  <c r="C29" i="28"/>
  <c r="G29" i="28" s="1"/>
  <c r="C28" i="28"/>
  <c r="G28" i="28" s="1"/>
  <c r="C27" i="28"/>
  <c r="G27" i="28" s="1"/>
  <c r="C26" i="28"/>
  <c r="G26" i="28" s="1"/>
  <c r="C25" i="28"/>
  <c r="G25" i="28" s="1"/>
  <c r="C24" i="28"/>
  <c r="G24" i="28" s="1"/>
  <c r="C23" i="28"/>
  <c r="G23" i="28" s="1"/>
  <c r="G117" i="28" l="1"/>
  <c r="I99" i="18"/>
  <c r="I98" i="18"/>
  <c r="F99" i="18"/>
  <c r="F98" i="18"/>
  <c r="I95" i="18"/>
  <c r="I91" i="18"/>
  <c r="I90" i="18"/>
  <c r="I81" i="18"/>
  <c r="I84" i="18"/>
  <c r="F84" i="18"/>
  <c r="F81" i="18"/>
  <c r="I79" i="18"/>
  <c r="I75" i="18"/>
  <c r="F75" i="18"/>
  <c r="I64" i="18"/>
  <c r="F64" i="18"/>
  <c r="I58" i="18"/>
  <c r="H58" i="18"/>
  <c r="I56" i="18"/>
  <c r="H56" i="18"/>
  <c r="I55" i="18"/>
  <c r="H55" i="18"/>
  <c r="I54" i="18"/>
  <c r="H54" i="18"/>
  <c r="I53" i="18"/>
  <c r="H53" i="18"/>
  <c r="I52" i="18"/>
  <c r="H52" i="18"/>
  <c r="I51" i="18"/>
  <c r="H51" i="18"/>
  <c r="F58" i="18"/>
  <c r="E58" i="18"/>
  <c r="F56" i="18"/>
  <c r="E56" i="18"/>
  <c r="F55" i="18"/>
  <c r="E55" i="18"/>
  <c r="F54" i="18"/>
  <c r="E54" i="18"/>
  <c r="F53" i="18"/>
  <c r="E53" i="18"/>
  <c r="F52" i="18"/>
  <c r="E52" i="18"/>
  <c r="F51" i="18"/>
  <c r="E51" i="18"/>
  <c r="I48" i="18"/>
  <c r="H48" i="18"/>
  <c r="I47" i="18"/>
  <c r="H47" i="18"/>
  <c r="F48" i="18"/>
  <c r="E48" i="18"/>
  <c r="F47" i="18"/>
  <c r="E47" i="18"/>
  <c r="I44" i="18"/>
  <c r="H44" i="18"/>
  <c r="I43" i="18"/>
  <c r="H43" i="18"/>
  <c r="F44" i="18"/>
  <c r="E44" i="18"/>
  <c r="F43" i="18"/>
  <c r="E43" i="18"/>
  <c r="I39" i="18"/>
  <c r="H39" i="18"/>
  <c r="I38" i="18"/>
  <c r="H38" i="18"/>
  <c r="I37" i="18"/>
  <c r="H37" i="18"/>
  <c r="F39" i="18"/>
  <c r="E39" i="18"/>
  <c r="F38" i="18"/>
  <c r="E38" i="18"/>
  <c r="F37" i="18"/>
  <c r="E37" i="18"/>
  <c r="I35" i="18"/>
  <c r="H35" i="18"/>
  <c r="I34" i="18"/>
  <c r="H34" i="18"/>
  <c r="F35" i="18"/>
  <c r="E35" i="18"/>
  <c r="F34" i="18"/>
  <c r="E34" i="18"/>
  <c r="I32" i="18"/>
  <c r="H32" i="18"/>
  <c r="F32" i="18"/>
  <c r="E32" i="18"/>
  <c r="I31" i="18"/>
  <c r="H31" i="18"/>
  <c r="F31" i="18"/>
  <c r="E31" i="18"/>
  <c r="I30" i="18"/>
  <c r="H30" i="18"/>
  <c r="F30" i="18"/>
  <c r="E30" i="18"/>
  <c r="I29" i="18"/>
  <c r="H29" i="18"/>
  <c r="F29" i="18"/>
  <c r="E29" i="18"/>
  <c r="I28" i="18"/>
  <c r="H28" i="18"/>
  <c r="F28" i="18"/>
  <c r="E28" i="18"/>
  <c r="I27" i="18"/>
  <c r="H27" i="18"/>
  <c r="F27" i="18"/>
  <c r="E27" i="18"/>
  <c r="I21" i="18"/>
  <c r="H21" i="18"/>
  <c r="F21" i="18"/>
  <c r="E21" i="18"/>
  <c r="I20" i="18"/>
  <c r="H20" i="18"/>
  <c r="F20" i="18"/>
  <c r="E20" i="18"/>
  <c r="I17" i="18"/>
  <c r="H17" i="18"/>
  <c r="F17" i="18"/>
  <c r="E17" i="18"/>
  <c r="I105" i="17"/>
  <c r="I103" i="17"/>
  <c r="I102" i="17"/>
  <c r="I101" i="17"/>
  <c r="I100" i="17"/>
  <c r="I99" i="17"/>
  <c r="I98" i="17"/>
  <c r="I95" i="17"/>
  <c r="I94" i="17"/>
  <c r="I91" i="17"/>
  <c r="I90" i="17"/>
  <c r="I86" i="17"/>
  <c r="I85" i="17"/>
  <c r="I84" i="17"/>
  <c r="I82" i="17"/>
  <c r="I81" i="17"/>
  <c r="I79" i="17"/>
  <c r="I78" i="17"/>
  <c r="I77" i="17"/>
  <c r="I76" i="17"/>
  <c r="I75" i="17"/>
  <c r="I74" i="17"/>
  <c r="I68" i="17"/>
  <c r="I67" i="17"/>
  <c r="I64" i="17"/>
  <c r="I58" i="17"/>
  <c r="H58" i="17"/>
  <c r="I56" i="17"/>
  <c r="H56" i="17"/>
  <c r="I55" i="17"/>
  <c r="H55" i="17"/>
  <c r="I54" i="17"/>
  <c r="H54" i="17"/>
  <c r="I53" i="17"/>
  <c r="H53" i="17"/>
  <c r="I52" i="17"/>
  <c r="H52" i="17"/>
  <c r="I51" i="17"/>
  <c r="H51" i="17"/>
  <c r="I48" i="17"/>
  <c r="H48" i="17"/>
  <c r="I47" i="17"/>
  <c r="H47" i="17"/>
  <c r="I44" i="17"/>
  <c r="H44" i="17"/>
  <c r="I43" i="17"/>
  <c r="H43" i="17"/>
  <c r="I39" i="17"/>
  <c r="H39" i="17"/>
  <c r="I38" i="17"/>
  <c r="H38" i="17"/>
  <c r="I37" i="17"/>
  <c r="H37" i="17"/>
  <c r="I35" i="17"/>
  <c r="H35" i="17"/>
  <c r="I34" i="17"/>
  <c r="H34" i="17"/>
  <c r="I32" i="17"/>
  <c r="H32" i="17"/>
  <c r="I31" i="17"/>
  <c r="H31" i="17"/>
  <c r="I30" i="17"/>
  <c r="H30" i="17"/>
  <c r="I29" i="17"/>
  <c r="H29" i="17"/>
  <c r="I28" i="17"/>
  <c r="H28" i="17"/>
  <c r="I27" i="17"/>
  <c r="H27" i="17"/>
  <c r="I21" i="17"/>
  <c r="H21" i="17"/>
  <c r="I20" i="17"/>
  <c r="H20" i="17"/>
  <c r="I17" i="17"/>
  <c r="H17" i="17"/>
  <c r="F105" i="17"/>
  <c r="F103" i="17"/>
  <c r="F102" i="17"/>
  <c r="F101" i="17"/>
  <c r="F100" i="17"/>
  <c r="F99" i="17"/>
  <c r="F98" i="17"/>
  <c r="F95" i="17"/>
  <c r="F94" i="17"/>
  <c r="F91" i="17"/>
  <c r="F90" i="17"/>
  <c r="F86" i="17"/>
  <c r="F85" i="17"/>
  <c r="F84" i="17"/>
  <c r="F82" i="17"/>
  <c r="F81" i="17"/>
  <c r="F79" i="17"/>
  <c r="F78" i="17"/>
  <c r="F77" i="17"/>
  <c r="F76" i="17"/>
  <c r="F75" i="17"/>
  <c r="F74" i="17"/>
  <c r="F68" i="17"/>
  <c r="F67" i="17"/>
  <c r="F64" i="17"/>
  <c r="F58" i="17"/>
  <c r="E58" i="17"/>
  <c r="F56" i="17"/>
  <c r="E56" i="17"/>
  <c r="F55" i="17"/>
  <c r="E55" i="17"/>
  <c r="F54" i="17"/>
  <c r="E54" i="17"/>
  <c r="F53" i="17"/>
  <c r="E53" i="17"/>
  <c r="F52" i="17"/>
  <c r="E52" i="17"/>
  <c r="F51" i="17"/>
  <c r="E51" i="17"/>
  <c r="F48" i="17"/>
  <c r="E48" i="17"/>
  <c r="F47" i="17"/>
  <c r="E47" i="17"/>
  <c r="F44" i="17"/>
  <c r="E44" i="17"/>
  <c r="F43" i="17"/>
  <c r="E43" i="17"/>
  <c r="F39" i="17"/>
  <c r="E39" i="17"/>
  <c r="F38" i="17"/>
  <c r="E38" i="17"/>
  <c r="F37" i="17"/>
  <c r="E37" i="17"/>
  <c r="F35" i="17"/>
  <c r="E35" i="17"/>
  <c r="F34" i="17"/>
  <c r="E34" i="17"/>
  <c r="F32" i="17"/>
  <c r="E32" i="17"/>
  <c r="F31" i="17"/>
  <c r="E31" i="17"/>
  <c r="F30" i="17"/>
  <c r="E30" i="17"/>
  <c r="F29" i="17"/>
  <c r="E29" i="17"/>
  <c r="F28" i="17"/>
  <c r="E28" i="17"/>
  <c r="F27" i="17"/>
  <c r="E27" i="17"/>
  <c r="F21" i="17"/>
  <c r="E21" i="17"/>
  <c r="F20" i="17"/>
  <c r="E20" i="17"/>
  <c r="F17" i="17"/>
  <c r="E17" i="17"/>
  <c r="E58" i="13"/>
  <c r="E56" i="13"/>
  <c r="E55" i="13"/>
  <c r="E54" i="13"/>
  <c r="E53" i="13"/>
  <c r="E52" i="13"/>
  <c r="E51" i="13"/>
  <c r="E48" i="13"/>
  <c r="E47" i="13"/>
  <c r="E44" i="13"/>
  <c r="E43" i="13"/>
  <c r="E39" i="13"/>
  <c r="E38" i="13"/>
  <c r="E37" i="13"/>
  <c r="E35" i="13"/>
  <c r="E34" i="13"/>
  <c r="E32" i="13"/>
  <c r="E31" i="13"/>
  <c r="E30" i="13"/>
  <c r="E29" i="13"/>
  <c r="E28" i="13"/>
  <c r="E27" i="13"/>
  <c r="E21" i="13"/>
  <c r="E20" i="13"/>
  <c r="E17" i="13"/>
  <c r="E58" i="30"/>
  <c r="D58" i="30" s="1"/>
  <c r="E56" i="30"/>
  <c r="D56" i="30" s="1"/>
  <c r="E55" i="30"/>
  <c r="D55" i="30" s="1"/>
  <c r="E54" i="30"/>
  <c r="D54" i="30" s="1"/>
  <c r="E53" i="30"/>
  <c r="D53" i="30" s="1"/>
  <c r="E52" i="30"/>
  <c r="D52" i="30" s="1"/>
  <c r="E51" i="30"/>
  <c r="D51" i="30" s="1"/>
  <c r="E48" i="30"/>
  <c r="D48" i="30" s="1"/>
  <c r="E47" i="30"/>
  <c r="D47" i="30" s="1"/>
  <c r="E44" i="30"/>
  <c r="D44" i="30" s="1"/>
  <c r="E43" i="30"/>
  <c r="E39" i="30"/>
  <c r="D39" i="30" s="1"/>
  <c r="E38" i="30"/>
  <c r="D38" i="30" s="1"/>
  <c r="E37" i="30"/>
  <c r="E35" i="30"/>
  <c r="D35" i="30" s="1"/>
  <c r="E34" i="30"/>
  <c r="D34" i="30" s="1"/>
  <c r="E32" i="30"/>
  <c r="D32" i="30" s="1"/>
  <c r="E31" i="30"/>
  <c r="D31" i="30" s="1"/>
  <c r="E30" i="30"/>
  <c r="D30" i="30" s="1"/>
  <c r="E29" i="30"/>
  <c r="D29" i="30" s="1"/>
  <c r="E28" i="30"/>
  <c r="D28" i="30" s="1"/>
  <c r="E27" i="30"/>
  <c r="D27" i="30" s="1"/>
  <c r="E21" i="30"/>
  <c r="D21" i="30" s="1"/>
  <c r="E20" i="30"/>
  <c r="D20" i="30" s="1"/>
  <c r="E17" i="30"/>
  <c r="D17" i="30" s="1"/>
  <c r="F96" i="30"/>
  <c r="F92" i="30" s="1"/>
  <c r="D89" i="30"/>
  <c r="F88" i="30"/>
  <c r="F83" i="30"/>
  <c r="F80" i="30"/>
  <c r="F69" i="30"/>
  <c r="F62" i="30"/>
  <c r="F49" i="30"/>
  <c r="F45" i="30" s="1"/>
  <c r="D42" i="30"/>
  <c r="F41" i="30"/>
  <c r="F36" i="30"/>
  <c r="F33" i="30"/>
  <c r="F22" i="30"/>
  <c r="F15" i="30"/>
  <c r="D9" i="30"/>
  <c r="D127" i="28" l="1"/>
  <c r="E41" i="30"/>
  <c r="D43" i="30"/>
  <c r="F65" i="30"/>
  <c r="F60" i="30" s="1"/>
  <c r="D41" i="30"/>
  <c r="F18" i="30"/>
  <c r="F13" i="30" s="1"/>
  <c r="E36" i="30"/>
  <c r="D36" i="30" s="1"/>
  <c r="E49" i="30"/>
  <c r="D49" i="30" s="1"/>
  <c r="D37" i="30"/>
  <c r="E33" i="30"/>
  <c r="D33" i="30"/>
  <c r="E22" i="30"/>
  <c r="D22" i="30" s="1"/>
  <c r="E15" i="30"/>
  <c r="E106" i="1"/>
  <c r="E58" i="1"/>
  <c r="E56" i="1"/>
  <c r="E55" i="1"/>
  <c r="E54" i="1"/>
  <c r="E53" i="1"/>
  <c r="E52" i="1"/>
  <c r="E51" i="1"/>
  <c r="E48" i="1"/>
  <c r="E47" i="1"/>
  <c r="E44" i="1"/>
  <c r="E43" i="1"/>
  <c r="E39" i="1"/>
  <c r="E38" i="1"/>
  <c r="E37" i="1"/>
  <c r="E35" i="1"/>
  <c r="E34" i="1"/>
  <c r="E32" i="1"/>
  <c r="E31" i="1"/>
  <c r="E30" i="1"/>
  <c r="E29" i="1"/>
  <c r="E28" i="1"/>
  <c r="E27" i="1"/>
  <c r="E21" i="1"/>
  <c r="E20" i="1"/>
  <c r="E17" i="1"/>
  <c r="D17" i="1" s="1"/>
  <c r="F11" i="28"/>
  <c r="F11" i="24"/>
  <c r="E45" i="30" l="1"/>
  <c r="D45" i="30" s="1"/>
  <c r="F10" i="30"/>
  <c r="E18" i="30"/>
  <c r="D18" i="30" s="1"/>
  <c r="D15" i="30"/>
  <c r="E13" i="30" l="1"/>
  <c r="D13" i="30" l="1"/>
  <c r="A115" i="14" l="1"/>
  <c r="F94" i="14" l="1"/>
  <c r="F93" i="14"/>
  <c r="F92" i="14"/>
  <c r="F29" i="15"/>
  <c r="F30" i="15"/>
  <c r="F28" i="15"/>
  <c r="F31" i="15" l="1"/>
  <c r="K117" i="20"/>
  <c r="H202" i="20"/>
  <c r="G202" i="20" s="1"/>
  <c r="E202" i="20"/>
  <c r="D202" i="20" s="1"/>
  <c r="H201" i="20"/>
  <c r="G201" i="20" s="1"/>
  <c r="E201" i="20"/>
  <c r="D201" i="20" s="1"/>
  <c r="H200" i="20"/>
  <c r="G200" i="20" s="1"/>
  <c r="E200" i="20"/>
  <c r="D200" i="20" s="1"/>
  <c r="H199" i="20"/>
  <c r="G199" i="20" s="1"/>
  <c r="E199" i="20"/>
  <c r="D199" i="20" s="1"/>
  <c r="H198" i="20"/>
  <c r="G198" i="20" s="1"/>
  <c r="E198" i="20"/>
  <c r="D198" i="20" s="1"/>
  <c r="H197" i="20"/>
  <c r="G197" i="20" s="1"/>
  <c r="E197" i="20"/>
  <c r="D197" i="20" s="1"/>
  <c r="H196" i="20"/>
  <c r="G196" i="20" s="1"/>
  <c r="E196" i="20"/>
  <c r="D196" i="20" s="1"/>
  <c r="I194" i="20"/>
  <c r="I190" i="20" s="1"/>
  <c r="F194" i="20"/>
  <c r="F190" i="20" s="1"/>
  <c r="H193" i="20"/>
  <c r="G193" i="20" s="1"/>
  <c r="E193" i="20"/>
  <c r="D193" i="20" s="1"/>
  <c r="H192" i="20"/>
  <c r="G192" i="20" s="1"/>
  <c r="E192" i="20"/>
  <c r="D192" i="20" s="1"/>
  <c r="H189" i="20"/>
  <c r="G189" i="20" s="1"/>
  <c r="E189" i="20"/>
  <c r="D189" i="20" s="1"/>
  <c r="H188" i="20"/>
  <c r="G188" i="20" s="1"/>
  <c r="E188" i="20"/>
  <c r="D188" i="20" s="1"/>
  <c r="G187" i="20"/>
  <c r="D187" i="20"/>
  <c r="I186" i="20"/>
  <c r="F186" i="20"/>
  <c r="H185" i="20"/>
  <c r="G185" i="20" s="1"/>
  <c r="E185" i="20"/>
  <c r="D185" i="20" s="1"/>
  <c r="H184" i="20"/>
  <c r="G184" i="20" s="1"/>
  <c r="E184" i="20"/>
  <c r="D184" i="20" s="1"/>
  <c r="H183" i="20"/>
  <c r="G183" i="20" s="1"/>
  <c r="E183" i="20"/>
  <c r="D183" i="20" s="1"/>
  <c r="I182" i="20"/>
  <c r="F182" i="20"/>
  <c r="H181" i="20"/>
  <c r="G181" i="20"/>
  <c r="E181" i="20"/>
  <c r="D181" i="20" s="1"/>
  <c r="H180" i="20"/>
  <c r="E180" i="20"/>
  <c r="D180" i="20" s="1"/>
  <c r="I179" i="20"/>
  <c r="F179" i="20"/>
  <c r="H178" i="20"/>
  <c r="G178" i="20" s="1"/>
  <c r="E178" i="20"/>
  <c r="D178" i="20" s="1"/>
  <c r="H177" i="20"/>
  <c r="G177" i="20" s="1"/>
  <c r="E177" i="20"/>
  <c r="D177" i="20" s="1"/>
  <c r="H176" i="20"/>
  <c r="G176" i="20" s="1"/>
  <c r="E176" i="20"/>
  <c r="D176" i="20"/>
  <c r="H175" i="20"/>
  <c r="G175" i="20" s="1"/>
  <c r="E175" i="20"/>
  <c r="D175" i="20" s="1"/>
  <c r="H174" i="20"/>
  <c r="G174" i="20" s="1"/>
  <c r="E174" i="20"/>
  <c r="D174" i="20" s="1"/>
  <c r="H173" i="20"/>
  <c r="G173" i="20" s="1"/>
  <c r="E173" i="20"/>
  <c r="D173" i="20" s="1"/>
  <c r="I171" i="20"/>
  <c r="I167" i="20" s="1"/>
  <c r="F171" i="20"/>
  <c r="H170" i="20"/>
  <c r="G170" i="20" s="1"/>
  <c r="E170" i="20"/>
  <c r="D170" i="20" s="1"/>
  <c r="H169" i="20"/>
  <c r="G169" i="20" s="1"/>
  <c r="E169" i="20"/>
  <c r="D169" i="20" s="1"/>
  <c r="H166" i="20"/>
  <c r="G166" i="20" s="1"/>
  <c r="E166" i="20"/>
  <c r="D166" i="20" s="1"/>
  <c r="I164" i="20"/>
  <c r="F164" i="20"/>
  <c r="G160" i="20"/>
  <c r="D160" i="20"/>
  <c r="G159" i="20"/>
  <c r="D159" i="20"/>
  <c r="G158" i="20"/>
  <c r="D158" i="20"/>
  <c r="G157" i="20"/>
  <c r="D157" i="20"/>
  <c r="G156" i="20"/>
  <c r="D156" i="20"/>
  <c r="G155" i="20"/>
  <c r="D155" i="20"/>
  <c r="G154" i="20"/>
  <c r="D154" i="20"/>
  <c r="I152" i="20"/>
  <c r="I148" i="20" s="1"/>
  <c r="H152" i="20"/>
  <c r="H148" i="20" s="1"/>
  <c r="F152" i="20"/>
  <c r="F148" i="20" s="1"/>
  <c r="E152" i="20"/>
  <c r="D152" i="20" s="1"/>
  <c r="G151" i="20"/>
  <c r="D151" i="20"/>
  <c r="G150" i="20"/>
  <c r="D150" i="20"/>
  <c r="G147" i="20"/>
  <c r="D147" i="20"/>
  <c r="G146" i="20"/>
  <c r="D146" i="20"/>
  <c r="G145" i="20"/>
  <c r="D145" i="20"/>
  <c r="I144" i="20"/>
  <c r="H144" i="20"/>
  <c r="F144" i="20"/>
  <c r="E144" i="20"/>
  <c r="G143" i="20"/>
  <c r="D143" i="20"/>
  <c r="G142" i="20"/>
  <c r="D142" i="20"/>
  <c r="G141" i="20"/>
  <c r="D141" i="20"/>
  <c r="I140" i="20"/>
  <c r="H140" i="20"/>
  <c r="F140" i="20"/>
  <c r="E140" i="20"/>
  <c r="G139" i="20"/>
  <c r="D139" i="20"/>
  <c r="G138" i="20"/>
  <c r="D138" i="20"/>
  <c r="I137" i="20"/>
  <c r="H137" i="20"/>
  <c r="F137" i="20"/>
  <c r="E137" i="20"/>
  <c r="D137" i="20"/>
  <c r="G136" i="20"/>
  <c r="D136" i="20"/>
  <c r="G135" i="20"/>
  <c r="D135" i="20"/>
  <c r="G134" i="20"/>
  <c r="D134" i="20"/>
  <c r="G133" i="20"/>
  <c r="D133" i="20"/>
  <c r="G132" i="20"/>
  <c r="D132" i="20"/>
  <c r="G131" i="20"/>
  <c r="D131" i="20"/>
  <c r="I129" i="20"/>
  <c r="H129" i="20"/>
  <c r="F129" i="20"/>
  <c r="E129" i="20"/>
  <c r="G128" i="20"/>
  <c r="D128" i="20"/>
  <c r="G127" i="20"/>
  <c r="D127" i="20"/>
  <c r="G124" i="20"/>
  <c r="D124" i="20"/>
  <c r="I122" i="20"/>
  <c r="H122" i="20"/>
  <c r="G122" i="20" s="1"/>
  <c r="F122" i="20"/>
  <c r="E122" i="20"/>
  <c r="D122" i="20" s="1"/>
  <c r="N117" i="20"/>
  <c r="G116" i="20"/>
  <c r="D116" i="20"/>
  <c r="G102" i="20"/>
  <c r="G101" i="20"/>
  <c r="G100" i="20"/>
  <c r="I98" i="20"/>
  <c r="H98" i="20"/>
  <c r="G98" i="20" s="1"/>
  <c r="G97" i="20"/>
  <c r="G96" i="20"/>
  <c r="G95" i="20"/>
  <c r="G94" i="20"/>
  <c r="G93" i="20"/>
  <c r="G92" i="20"/>
  <c r="G91" i="20"/>
  <c r="I89" i="20"/>
  <c r="I85" i="20" s="1"/>
  <c r="H89" i="20"/>
  <c r="H85" i="20" s="1"/>
  <c r="G88" i="20"/>
  <c r="G87" i="20"/>
  <c r="G84" i="20"/>
  <c r="G83" i="20"/>
  <c r="I82" i="20"/>
  <c r="H82" i="20"/>
  <c r="G81" i="20"/>
  <c r="G80" i="20"/>
  <c r="G79" i="20"/>
  <c r="G78" i="20"/>
  <c r="G77" i="20"/>
  <c r="I76" i="20"/>
  <c r="H76" i="20"/>
  <c r="G76" i="20" s="1"/>
  <c r="G75" i="20"/>
  <c r="G74" i="20"/>
  <c r="G73" i="20"/>
  <c r="G72" i="20"/>
  <c r="G71" i="20"/>
  <c r="G70" i="20"/>
  <c r="I69" i="20"/>
  <c r="H69" i="20"/>
  <c r="G68" i="20"/>
  <c r="G66" i="20"/>
  <c r="G65" i="20"/>
  <c r="G64" i="20"/>
  <c r="I63" i="20"/>
  <c r="I61" i="20" s="1"/>
  <c r="H63" i="20"/>
  <c r="G62" i="20"/>
  <c r="G60" i="20"/>
  <c r="G59" i="20"/>
  <c r="G58" i="20"/>
  <c r="G57" i="20"/>
  <c r="G56" i="20"/>
  <c r="G55" i="20"/>
  <c r="I54" i="20"/>
  <c r="H54" i="20"/>
  <c r="G53" i="20"/>
  <c r="G52" i="20"/>
  <c r="I51" i="20"/>
  <c r="H51" i="20"/>
  <c r="G50" i="20"/>
  <c r="G49" i="20"/>
  <c r="G48" i="20"/>
  <c r="G47" i="20"/>
  <c r="G46" i="20"/>
  <c r="G45" i="20"/>
  <c r="I43" i="20"/>
  <c r="H43" i="20"/>
  <c r="G42" i="20"/>
  <c r="G41" i="20"/>
  <c r="I40" i="20"/>
  <c r="H40" i="20"/>
  <c r="G39" i="20"/>
  <c r="G35" i="20"/>
  <c r="I34" i="20"/>
  <c r="I29" i="20" s="1"/>
  <c r="H34" i="20"/>
  <c r="G33" i="20"/>
  <c r="G32" i="20"/>
  <c r="G31" i="20"/>
  <c r="H29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I12" i="20"/>
  <c r="I10" i="20" s="1"/>
  <c r="H12" i="20"/>
  <c r="H10" i="20" s="1"/>
  <c r="G8" i="20"/>
  <c r="D102" i="20"/>
  <c r="D101" i="20"/>
  <c r="D100" i="20"/>
  <c r="F98" i="20"/>
  <c r="E98" i="20"/>
  <c r="D97" i="20"/>
  <c r="D96" i="20"/>
  <c r="D95" i="20"/>
  <c r="D94" i="20"/>
  <c r="D93" i="20"/>
  <c r="D92" i="20"/>
  <c r="D91" i="20"/>
  <c r="F89" i="20"/>
  <c r="F85" i="20" s="1"/>
  <c r="E89" i="20"/>
  <c r="D89" i="20" s="1"/>
  <c r="D88" i="20"/>
  <c r="D87" i="20"/>
  <c r="D84" i="20"/>
  <c r="D83" i="20"/>
  <c r="F82" i="20"/>
  <c r="E82" i="20"/>
  <c r="D81" i="20"/>
  <c r="D80" i="20"/>
  <c r="D79" i="20"/>
  <c r="D78" i="20"/>
  <c r="D77" i="20"/>
  <c r="F76" i="20"/>
  <c r="E76" i="20"/>
  <c r="D75" i="20"/>
  <c r="D74" i="20"/>
  <c r="D73" i="20"/>
  <c r="D72" i="20"/>
  <c r="D71" i="20"/>
  <c r="D70" i="20"/>
  <c r="F69" i="20"/>
  <c r="E69" i="20"/>
  <c r="D69" i="20" s="1"/>
  <c r="D68" i="20"/>
  <c r="D66" i="20"/>
  <c r="D65" i="20"/>
  <c r="D64" i="20"/>
  <c r="F63" i="20"/>
  <c r="F61" i="20" s="1"/>
  <c r="E63" i="20"/>
  <c r="D63" i="20" s="1"/>
  <c r="D62" i="20"/>
  <c r="D60" i="20"/>
  <c r="D59" i="20"/>
  <c r="D58" i="20"/>
  <c r="D57" i="20"/>
  <c r="D56" i="20"/>
  <c r="D55" i="20"/>
  <c r="F54" i="20"/>
  <c r="E54" i="20"/>
  <c r="D53" i="20"/>
  <c r="D52" i="20"/>
  <c r="F51" i="20"/>
  <c r="E51" i="20"/>
  <c r="D50" i="20"/>
  <c r="D49" i="20"/>
  <c r="D48" i="20"/>
  <c r="D47" i="20"/>
  <c r="D46" i="20"/>
  <c r="D45" i="20"/>
  <c r="F43" i="20"/>
  <c r="E43" i="20"/>
  <c r="D43" i="20" s="1"/>
  <c r="D42" i="20"/>
  <c r="D41" i="20"/>
  <c r="F40" i="20"/>
  <c r="E40" i="20"/>
  <c r="D39" i="20"/>
  <c r="D35" i="20"/>
  <c r="F34" i="20"/>
  <c r="F29" i="20" s="1"/>
  <c r="E34" i="20"/>
  <c r="D33" i="20"/>
  <c r="D32" i="20"/>
  <c r="D31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F12" i="20"/>
  <c r="F10" i="20" s="1"/>
  <c r="E12" i="20"/>
  <c r="E10" i="20" s="1"/>
  <c r="D8" i="20"/>
  <c r="G95" i="19"/>
  <c r="D95" i="19"/>
  <c r="G94" i="19"/>
  <c r="D94" i="19"/>
  <c r="G93" i="19"/>
  <c r="D93" i="19"/>
  <c r="G92" i="19"/>
  <c r="D92" i="19"/>
  <c r="G91" i="19"/>
  <c r="D91" i="19"/>
  <c r="G90" i="19"/>
  <c r="D90" i="19"/>
  <c r="G89" i="19"/>
  <c r="D89" i="19"/>
  <c r="I87" i="19"/>
  <c r="I83" i="19" s="1"/>
  <c r="H87" i="19"/>
  <c r="F87" i="19"/>
  <c r="F83" i="19" s="1"/>
  <c r="E87" i="19"/>
  <c r="E83" i="19" s="1"/>
  <c r="G86" i="19"/>
  <c r="D86" i="19"/>
  <c r="G85" i="19"/>
  <c r="D85" i="19"/>
  <c r="G82" i="19"/>
  <c r="D82" i="19"/>
  <c r="G81" i="19"/>
  <c r="D81" i="19"/>
  <c r="G80" i="19"/>
  <c r="D80" i="19"/>
  <c r="I79" i="19"/>
  <c r="H79" i="19"/>
  <c r="F79" i="19"/>
  <c r="E79" i="19"/>
  <c r="G78" i="19"/>
  <c r="D78" i="19"/>
  <c r="G77" i="19"/>
  <c r="D77" i="19"/>
  <c r="G76" i="19"/>
  <c r="D76" i="19"/>
  <c r="I75" i="19"/>
  <c r="H75" i="19"/>
  <c r="F75" i="19"/>
  <c r="E75" i="19"/>
  <c r="G74" i="19"/>
  <c r="D74" i="19"/>
  <c r="G73" i="19"/>
  <c r="D73" i="19"/>
  <c r="I72" i="19"/>
  <c r="H72" i="19"/>
  <c r="F72" i="19"/>
  <c r="E72" i="19"/>
  <c r="G71" i="19"/>
  <c r="D71" i="19"/>
  <c r="G70" i="19"/>
  <c r="D70" i="19"/>
  <c r="G69" i="19"/>
  <c r="D69" i="19"/>
  <c r="G68" i="19"/>
  <c r="D68" i="19"/>
  <c r="G67" i="19"/>
  <c r="D67" i="19"/>
  <c r="G66" i="19"/>
  <c r="D66" i="19"/>
  <c r="I64" i="19"/>
  <c r="H64" i="19"/>
  <c r="H60" i="19" s="1"/>
  <c r="F64" i="19"/>
  <c r="F60" i="19" s="1"/>
  <c r="E64" i="19"/>
  <c r="G63" i="19"/>
  <c r="D63" i="19"/>
  <c r="G62" i="19"/>
  <c r="D62" i="19"/>
  <c r="G59" i="19"/>
  <c r="D59" i="19"/>
  <c r="I57" i="19"/>
  <c r="H57" i="19"/>
  <c r="F57" i="19"/>
  <c r="E57" i="19"/>
  <c r="G53" i="19"/>
  <c r="D53" i="19"/>
  <c r="G52" i="19"/>
  <c r="D52" i="19"/>
  <c r="G51" i="19"/>
  <c r="D51" i="19"/>
  <c r="G50" i="19"/>
  <c r="D50" i="19"/>
  <c r="G49" i="19"/>
  <c r="D49" i="19"/>
  <c r="G48" i="19"/>
  <c r="D48" i="19"/>
  <c r="G47" i="19"/>
  <c r="D47" i="19"/>
  <c r="I45" i="19"/>
  <c r="I41" i="19" s="1"/>
  <c r="H45" i="19"/>
  <c r="H41" i="19" s="1"/>
  <c r="F45" i="19"/>
  <c r="F41" i="19" s="1"/>
  <c r="E45" i="19"/>
  <c r="G44" i="19"/>
  <c r="D44" i="19"/>
  <c r="G43" i="19"/>
  <c r="D43" i="19"/>
  <c r="G40" i="19"/>
  <c r="D40" i="19"/>
  <c r="G39" i="19"/>
  <c r="D39" i="19"/>
  <c r="G38" i="19"/>
  <c r="D38" i="19"/>
  <c r="I37" i="19"/>
  <c r="H37" i="19"/>
  <c r="F37" i="19"/>
  <c r="E37" i="19"/>
  <c r="G36" i="19"/>
  <c r="D36" i="19"/>
  <c r="G35" i="19"/>
  <c r="D35" i="19"/>
  <c r="G34" i="19"/>
  <c r="D34" i="19"/>
  <c r="I33" i="19"/>
  <c r="H33" i="19"/>
  <c r="F33" i="19"/>
  <c r="E33" i="19"/>
  <c r="G32" i="19"/>
  <c r="D32" i="19"/>
  <c r="G31" i="19"/>
  <c r="D31" i="19"/>
  <c r="I30" i="19"/>
  <c r="H30" i="19"/>
  <c r="F30" i="19"/>
  <c r="E30" i="19"/>
  <c r="G29" i="19"/>
  <c r="D29" i="19"/>
  <c r="G28" i="19"/>
  <c r="D28" i="19"/>
  <c r="G27" i="19"/>
  <c r="D27" i="19"/>
  <c r="G26" i="19"/>
  <c r="D26" i="19"/>
  <c r="G25" i="19"/>
  <c r="D25" i="19"/>
  <c r="G24" i="19"/>
  <c r="D24" i="19"/>
  <c r="I22" i="19"/>
  <c r="I18" i="19" s="1"/>
  <c r="H22" i="19"/>
  <c r="F22" i="19"/>
  <c r="E22" i="19"/>
  <c r="G21" i="19"/>
  <c r="D21" i="19"/>
  <c r="G20" i="19"/>
  <c r="D20" i="19"/>
  <c r="G17" i="19"/>
  <c r="D17" i="19"/>
  <c r="I15" i="19"/>
  <c r="H15" i="19"/>
  <c r="F15" i="19"/>
  <c r="E15" i="19"/>
  <c r="G9" i="19"/>
  <c r="D9" i="19"/>
  <c r="G89" i="18"/>
  <c r="D89" i="18"/>
  <c r="I88" i="18"/>
  <c r="I62" i="18"/>
  <c r="F62" i="18"/>
  <c r="G58" i="18"/>
  <c r="D58" i="18"/>
  <c r="G56" i="18"/>
  <c r="D56" i="18"/>
  <c r="G55" i="18"/>
  <c r="D55" i="18"/>
  <c r="G54" i="18"/>
  <c r="D54" i="18"/>
  <c r="G53" i="18"/>
  <c r="D53" i="18"/>
  <c r="G52" i="18"/>
  <c r="D52" i="18"/>
  <c r="G51" i="18"/>
  <c r="D51" i="18"/>
  <c r="I49" i="18"/>
  <c r="I45" i="18" s="1"/>
  <c r="H49" i="18"/>
  <c r="F49" i="18"/>
  <c r="F45" i="18" s="1"/>
  <c r="E49" i="18"/>
  <c r="G48" i="18"/>
  <c r="D48" i="18"/>
  <c r="G47" i="18"/>
  <c r="D47" i="18"/>
  <c r="G44" i="18"/>
  <c r="D44" i="18"/>
  <c r="G43" i="18"/>
  <c r="D43" i="18"/>
  <c r="G42" i="18"/>
  <c r="D42" i="18"/>
  <c r="I41" i="18"/>
  <c r="H41" i="18"/>
  <c r="F41" i="18"/>
  <c r="E41" i="18"/>
  <c r="G39" i="18"/>
  <c r="D39" i="18"/>
  <c r="G38" i="18"/>
  <c r="D38" i="18"/>
  <c r="G37" i="18"/>
  <c r="D37" i="18"/>
  <c r="I36" i="18"/>
  <c r="H36" i="18"/>
  <c r="F36" i="18"/>
  <c r="E36" i="18"/>
  <c r="G35" i="18"/>
  <c r="D35" i="18"/>
  <c r="G34" i="18"/>
  <c r="D34" i="18"/>
  <c r="I33" i="18"/>
  <c r="H33" i="18"/>
  <c r="F33" i="18"/>
  <c r="E33" i="18"/>
  <c r="G32" i="18"/>
  <c r="D32" i="18"/>
  <c r="G31" i="18"/>
  <c r="D31" i="18"/>
  <c r="G30" i="18"/>
  <c r="D30" i="18"/>
  <c r="G29" i="18"/>
  <c r="D29" i="18"/>
  <c r="G28" i="18"/>
  <c r="D28" i="18"/>
  <c r="G27" i="18"/>
  <c r="D27" i="18"/>
  <c r="I22" i="18"/>
  <c r="H22" i="18"/>
  <c r="F22" i="18"/>
  <c r="E22" i="18"/>
  <c r="G21" i="18"/>
  <c r="D21" i="18"/>
  <c r="G20" i="18"/>
  <c r="D20" i="18"/>
  <c r="G17" i="18"/>
  <c r="D17" i="18"/>
  <c r="I15" i="18"/>
  <c r="H15" i="18"/>
  <c r="F15" i="18"/>
  <c r="E15" i="18"/>
  <c r="G9" i="18"/>
  <c r="D9" i="18"/>
  <c r="I96" i="17"/>
  <c r="I92" i="17" s="1"/>
  <c r="G89" i="17"/>
  <c r="I88" i="17"/>
  <c r="I83" i="17"/>
  <c r="I80" i="17"/>
  <c r="I69" i="17"/>
  <c r="I62" i="17"/>
  <c r="G58" i="17"/>
  <c r="G56" i="17"/>
  <c r="G55" i="17"/>
  <c r="G54" i="17"/>
  <c r="G53" i="17"/>
  <c r="G52" i="17"/>
  <c r="G51" i="17"/>
  <c r="I49" i="17"/>
  <c r="H49" i="17"/>
  <c r="G48" i="17"/>
  <c r="G47" i="17"/>
  <c r="I45" i="17"/>
  <c r="G44" i="17"/>
  <c r="G43" i="17"/>
  <c r="I41" i="17"/>
  <c r="H41" i="17"/>
  <c r="G39" i="17"/>
  <c r="G38" i="17"/>
  <c r="G37" i="17"/>
  <c r="I36" i="17"/>
  <c r="H36" i="17"/>
  <c r="G35" i="17"/>
  <c r="G34" i="17"/>
  <c r="I33" i="17"/>
  <c r="H33" i="17"/>
  <c r="G32" i="17"/>
  <c r="G31" i="17"/>
  <c r="G30" i="17"/>
  <c r="G29" i="17"/>
  <c r="G28" i="17"/>
  <c r="G27" i="17"/>
  <c r="I22" i="17"/>
  <c r="H22" i="17"/>
  <c r="G21" i="17"/>
  <c r="G20" i="17"/>
  <c r="G17" i="17"/>
  <c r="I15" i="17"/>
  <c r="H15" i="17"/>
  <c r="G9" i="17"/>
  <c r="F96" i="17"/>
  <c r="F92" i="17" s="1"/>
  <c r="D89" i="17"/>
  <c r="F88" i="17"/>
  <c r="F83" i="17"/>
  <c r="F80" i="17"/>
  <c r="F69" i="17"/>
  <c r="F62" i="17"/>
  <c r="D58" i="17"/>
  <c r="D56" i="17"/>
  <c r="D55" i="17"/>
  <c r="D54" i="17"/>
  <c r="D53" i="17"/>
  <c r="D52" i="17"/>
  <c r="D51" i="17"/>
  <c r="F49" i="17"/>
  <c r="F45" i="17" s="1"/>
  <c r="E49" i="17"/>
  <c r="D48" i="17"/>
  <c r="D47" i="17"/>
  <c r="D44" i="17"/>
  <c r="D43" i="17"/>
  <c r="F41" i="17"/>
  <c r="E41" i="17"/>
  <c r="D39" i="17"/>
  <c r="D38" i="17"/>
  <c r="D37" i="17"/>
  <c r="F36" i="17"/>
  <c r="E36" i="17"/>
  <c r="D35" i="17"/>
  <c r="D34" i="17"/>
  <c r="F33" i="17"/>
  <c r="E33" i="17"/>
  <c r="D32" i="17"/>
  <c r="D31" i="17"/>
  <c r="D30" i="17"/>
  <c r="D29" i="17"/>
  <c r="D28" i="17"/>
  <c r="D27" i="17"/>
  <c r="F22" i="17"/>
  <c r="E22" i="17"/>
  <c r="D21" i="17"/>
  <c r="D20" i="17"/>
  <c r="D17" i="17"/>
  <c r="F15" i="17"/>
  <c r="E15" i="17"/>
  <c r="D9" i="17"/>
  <c r="D15" i="19" l="1"/>
  <c r="E164" i="20"/>
  <c r="G82" i="20"/>
  <c r="G85" i="20"/>
  <c r="D34" i="20"/>
  <c r="H179" i="20"/>
  <c r="D40" i="20"/>
  <c r="E171" i="20"/>
  <c r="D171" i="20" s="1"/>
  <c r="G137" i="20"/>
  <c r="D140" i="20"/>
  <c r="D179" i="20"/>
  <c r="G49" i="18"/>
  <c r="G63" i="20"/>
  <c r="G152" i="20"/>
  <c r="D129" i="20"/>
  <c r="D144" i="20"/>
  <c r="D82" i="20"/>
  <c r="D98" i="20"/>
  <c r="H125" i="20"/>
  <c r="H120" i="20" s="1"/>
  <c r="E148" i="20"/>
  <c r="D148" i="20" s="1"/>
  <c r="G72" i="19"/>
  <c r="I37" i="20"/>
  <c r="G41" i="19"/>
  <c r="D51" i="20"/>
  <c r="E61" i="20"/>
  <c r="D61" i="20" s="1"/>
  <c r="E67" i="20"/>
  <c r="F67" i="20"/>
  <c r="G34" i="20"/>
  <c r="G40" i="20"/>
  <c r="G51" i="20"/>
  <c r="H61" i="20"/>
  <c r="G61" i="20" s="1"/>
  <c r="H67" i="20"/>
  <c r="G69" i="20"/>
  <c r="I67" i="20"/>
  <c r="F125" i="20"/>
  <c r="F120" i="20" s="1"/>
  <c r="F117" i="20" s="1"/>
  <c r="G129" i="20"/>
  <c r="G140" i="20"/>
  <c r="G144" i="20"/>
  <c r="G148" i="20"/>
  <c r="D164" i="20"/>
  <c r="I162" i="20"/>
  <c r="F167" i="20"/>
  <c r="F162" i="20" s="1"/>
  <c r="G180" i="20"/>
  <c r="G179" i="20" s="1"/>
  <c r="E186" i="20"/>
  <c r="D186" i="20" s="1"/>
  <c r="D72" i="19"/>
  <c r="G22" i="19"/>
  <c r="D37" i="19"/>
  <c r="D22" i="19"/>
  <c r="G37" i="19"/>
  <c r="D87" i="19"/>
  <c r="F18" i="19"/>
  <c r="F13" i="19" s="1"/>
  <c r="F10" i="19" s="1"/>
  <c r="G57" i="19"/>
  <c r="G75" i="19"/>
  <c r="E18" i="19"/>
  <c r="E13" i="19" s="1"/>
  <c r="G30" i="19"/>
  <c r="D57" i="19"/>
  <c r="F55" i="19"/>
  <c r="G79" i="19"/>
  <c r="H37" i="20"/>
  <c r="G37" i="20" s="1"/>
  <c r="G54" i="20"/>
  <c r="E194" i="20"/>
  <c r="D194" i="20" s="1"/>
  <c r="E85" i="20"/>
  <c r="D85" i="20" s="1"/>
  <c r="E182" i="20"/>
  <c r="D182" i="20" s="1"/>
  <c r="D54" i="20"/>
  <c r="D12" i="20"/>
  <c r="D15" i="18"/>
  <c r="D36" i="18"/>
  <c r="G33" i="18"/>
  <c r="D22" i="18"/>
  <c r="G15" i="18"/>
  <c r="H18" i="17"/>
  <c r="H13" i="17" s="1"/>
  <c r="D30" i="19"/>
  <c r="D33" i="19"/>
  <c r="I60" i="19"/>
  <c r="I55" i="19" s="1"/>
  <c r="G15" i="19"/>
  <c r="G45" i="19"/>
  <c r="D64" i="19"/>
  <c r="D79" i="19"/>
  <c r="G87" i="19"/>
  <c r="G33" i="19"/>
  <c r="D45" i="19"/>
  <c r="G64" i="19"/>
  <c r="D75" i="19"/>
  <c r="D83" i="19"/>
  <c r="D33" i="18"/>
  <c r="G22" i="18"/>
  <c r="I18" i="18"/>
  <c r="I13" i="18" s="1"/>
  <c r="D41" i="18"/>
  <c r="D49" i="18"/>
  <c r="G41" i="17"/>
  <c r="H186" i="20"/>
  <c r="G186" i="20" s="1"/>
  <c r="E125" i="20"/>
  <c r="I125" i="20"/>
  <c r="E179" i="20"/>
  <c r="H164" i="20"/>
  <c r="H171" i="20"/>
  <c r="H182" i="20"/>
  <c r="G182" i="20" s="1"/>
  <c r="H194" i="20"/>
  <c r="G12" i="20"/>
  <c r="G43" i="20"/>
  <c r="G89" i="20"/>
  <c r="G10" i="20"/>
  <c r="G29" i="20"/>
  <c r="D10" i="20"/>
  <c r="E37" i="20"/>
  <c r="F37" i="20"/>
  <c r="E29" i="20"/>
  <c r="D76" i="20"/>
  <c r="I13" i="19"/>
  <c r="I10" i="19" s="1"/>
  <c r="E41" i="19"/>
  <c r="D41" i="19" s="1"/>
  <c r="E60" i="19"/>
  <c r="H18" i="19"/>
  <c r="H55" i="19"/>
  <c r="H83" i="19"/>
  <c r="G83" i="19" s="1"/>
  <c r="E45" i="18"/>
  <c r="D45" i="18" s="1"/>
  <c r="H18" i="18"/>
  <c r="H13" i="18" s="1"/>
  <c r="G41" i="18"/>
  <c r="F18" i="18"/>
  <c r="F13" i="18" s="1"/>
  <c r="G36" i="18"/>
  <c r="G36" i="17"/>
  <c r="I65" i="17"/>
  <c r="I60" i="17" s="1"/>
  <c r="D15" i="17"/>
  <c r="G15" i="17"/>
  <c r="G33" i="17"/>
  <c r="G49" i="17"/>
  <c r="E18" i="18"/>
  <c r="H45" i="18"/>
  <c r="G45" i="18" s="1"/>
  <c r="D33" i="17"/>
  <c r="G22" i="17"/>
  <c r="F65" i="17"/>
  <c r="F60" i="17" s="1"/>
  <c r="D36" i="17"/>
  <c r="D49" i="17"/>
  <c r="I18" i="17"/>
  <c r="I13" i="17" s="1"/>
  <c r="H45" i="17"/>
  <c r="G45" i="17" s="1"/>
  <c r="D41" i="17"/>
  <c r="E18" i="17"/>
  <c r="E13" i="17" s="1"/>
  <c r="E45" i="17"/>
  <c r="D45" i="17" s="1"/>
  <c r="F18" i="17"/>
  <c r="F13" i="17" s="1"/>
  <c r="D22" i="17"/>
  <c r="F10" i="17" l="1"/>
  <c r="E167" i="20"/>
  <c r="D167" i="20" s="1"/>
  <c r="D37" i="20"/>
  <c r="I27" i="20"/>
  <c r="I25" i="20" s="1"/>
  <c r="I9" i="20" s="1"/>
  <c r="D67" i="20"/>
  <c r="F27" i="20"/>
  <c r="F25" i="20" s="1"/>
  <c r="F9" i="20" s="1"/>
  <c r="G67" i="20"/>
  <c r="G55" i="19"/>
  <c r="D18" i="19"/>
  <c r="G60" i="19"/>
  <c r="H27" i="20"/>
  <c r="G27" i="20" s="1"/>
  <c r="E190" i="20"/>
  <c r="D190" i="20" s="1"/>
  <c r="I10" i="17"/>
  <c r="G18" i="18"/>
  <c r="H167" i="20"/>
  <c r="G167" i="20" s="1"/>
  <c r="G171" i="20"/>
  <c r="G164" i="20"/>
  <c r="E162" i="20"/>
  <c r="D162" i="20" s="1"/>
  <c r="G194" i="20"/>
  <c r="H190" i="20"/>
  <c r="G190" i="20" s="1"/>
  <c r="G125" i="20"/>
  <c r="I120" i="20"/>
  <c r="E120" i="20"/>
  <c r="D125" i="20"/>
  <c r="E27" i="20"/>
  <c r="D29" i="20"/>
  <c r="E55" i="19"/>
  <c r="D55" i="19" s="1"/>
  <c r="D60" i="19"/>
  <c r="H13" i="19"/>
  <c r="G18" i="19"/>
  <c r="E10" i="19"/>
  <c r="D10" i="19" s="1"/>
  <c r="D13" i="19"/>
  <c r="G13" i="18"/>
  <c r="E13" i="18"/>
  <c r="D18" i="18"/>
  <c r="G18" i="17"/>
  <c r="G13" i="17"/>
  <c r="D18" i="17"/>
  <c r="D13" i="17"/>
  <c r="H25" i="20" l="1"/>
  <c r="G25" i="20" s="1"/>
  <c r="H162" i="20"/>
  <c r="G162" i="20" s="1"/>
  <c r="D120" i="20"/>
  <c r="E117" i="20"/>
  <c r="D117" i="20" s="1"/>
  <c r="L117" i="20" s="1"/>
  <c r="I117" i="20"/>
  <c r="G120" i="20"/>
  <c r="D27" i="20"/>
  <c r="E25" i="20"/>
  <c r="G13" i="19"/>
  <c r="H10" i="19"/>
  <c r="G10" i="19" s="1"/>
  <c r="D13" i="18"/>
  <c r="H9" i="20" l="1"/>
  <c r="G9" i="20" s="1"/>
  <c r="H117" i="20"/>
  <c r="G117" i="20" s="1"/>
  <c r="O117" i="20" s="1"/>
  <c r="P117" i="20" s="1"/>
  <c r="M117" i="20"/>
  <c r="D25" i="20"/>
  <c r="E9" i="20"/>
  <c r="D9" i="20" s="1"/>
  <c r="F371" i="14" l="1"/>
  <c r="F381" i="14"/>
  <c r="F383" i="14"/>
  <c r="F385" i="14"/>
  <c r="F387" i="14"/>
  <c r="F389" i="14"/>
  <c r="F391" i="14"/>
  <c r="F393" i="14"/>
  <c r="F351" i="14"/>
  <c r="F352" i="14"/>
  <c r="F363" i="14"/>
  <c r="F362" i="14"/>
  <c r="F354" i="14"/>
  <c r="F353" i="14"/>
  <c r="F297" i="14"/>
  <c r="F296" i="14"/>
  <c r="F288" i="14"/>
  <c r="F287" i="14"/>
  <c r="F286" i="14"/>
  <c r="F285" i="14"/>
  <c r="F284" i="14"/>
  <c r="F276" i="14"/>
  <c r="F275" i="14"/>
  <c r="F266" i="14"/>
  <c r="F265" i="14"/>
  <c r="F256" i="14"/>
  <c r="F229" i="14"/>
  <c r="F222" i="14"/>
  <c r="F215" i="14"/>
  <c r="F193" i="14"/>
  <c r="F192" i="14"/>
  <c r="F184" i="14"/>
  <c r="F176" i="14"/>
  <c r="F170" i="14"/>
  <c r="F161" i="14"/>
  <c r="F155" i="14"/>
  <c r="F147" i="14"/>
  <c r="F139" i="14"/>
  <c r="F131" i="14"/>
  <c r="F123" i="14"/>
  <c r="D115" i="14"/>
  <c r="F115" i="14" s="1"/>
  <c r="F26" i="14"/>
  <c r="F11" i="14"/>
  <c r="H210" i="6"/>
  <c r="I105" i="18" s="1"/>
  <c r="E210" i="6"/>
  <c r="H209" i="6"/>
  <c r="I103" i="18" s="1"/>
  <c r="E209" i="6"/>
  <c r="H208" i="6"/>
  <c r="I102" i="18" s="1"/>
  <c r="E208" i="6"/>
  <c r="H207" i="6"/>
  <c r="I101" i="18" s="1"/>
  <c r="E207" i="6"/>
  <c r="H206" i="6"/>
  <c r="I100" i="18" s="1"/>
  <c r="E206" i="6"/>
  <c r="F100" i="18" s="1"/>
  <c r="H205" i="6"/>
  <c r="E205" i="6"/>
  <c r="E99" i="18" s="1"/>
  <c r="D99" i="18" s="1"/>
  <c r="H204" i="6"/>
  <c r="E204" i="6"/>
  <c r="E98" i="18" s="1"/>
  <c r="D98" i="18" s="1"/>
  <c r="I202" i="6"/>
  <c r="I198" i="6" s="1"/>
  <c r="F202" i="6"/>
  <c r="F198" i="6" s="1"/>
  <c r="H201" i="6"/>
  <c r="H95" i="18" s="1"/>
  <c r="G95" i="18" s="1"/>
  <c r="E201" i="6"/>
  <c r="F95" i="18" s="1"/>
  <c r="H200" i="6"/>
  <c r="E200" i="6"/>
  <c r="F94" i="18" s="1"/>
  <c r="H197" i="6"/>
  <c r="E197" i="6"/>
  <c r="H196" i="6"/>
  <c r="E196" i="6"/>
  <c r="G195" i="6"/>
  <c r="D195" i="6"/>
  <c r="I194" i="6"/>
  <c r="F194" i="6"/>
  <c r="H193" i="6"/>
  <c r="I86" i="18" s="1"/>
  <c r="E193" i="6"/>
  <c r="H192" i="6"/>
  <c r="I85" i="18" s="1"/>
  <c r="I83" i="18" s="1"/>
  <c r="E192" i="6"/>
  <c r="F85" i="18" s="1"/>
  <c r="F83" i="18" s="1"/>
  <c r="H191" i="6"/>
  <c r="E191" i="6"/>
  <c r="E84" i="18" s="1"/>
  <c r="D84" i="18" s="1"/>
  <c r="I190" i="6"/>
  <c r="F190" i="6"/>
  <c r="H189" i="6"/>
  <c r="I82" i="18" s="1"/>
  <c r="I80" i="18" s="1"/>
  <c r="E189" i="6"/>
  <c r="F82" i="18" s="1"/>
  <c r="F80" i="18" s="1"/>
  <c r="H188" i="6"/>
  <c r="H81" i="18" s="1"/>
  <c r="G81" i="18" s="1"/>
  <c r="E188" i="6"/>
  <c r="I187" i="6"/>
  <c r="F187" i="6"/>
  <c r="H186" i="6"/>
  <c r="E186" i="6"/>
  <c r="H185" i="6"/>
  <c r="I78" i="18" s="1"/>
  <c r="E185" i="6"/>
  <c r="H184" i="6"/>
  <c r="I77" i="18" s="1"/>
  <c r="E184" i="6"/>
  <c r="H183" i="6"/>
  <c r="I76" i="18" s="1"/>
  <c r="E183" i="6"/>
  <c r="H182" i="6"/>
  <c r="E182" i="6"/>
  <c r="E75" i="18" s="1"/>
  <c r="D75" i="18" s="1"/>
  <c r="H181" i="6"/>
  <c r="I74" i="18" s="1"/>
  <c r="E181" i="6"/>
  <c r="F74" i="18" s="1"/>
  <c r="I179" i="6"/>
  <c r="F179" i="6"/>
  <c r="F175" i="6" s="1"/>
  <c r="H178" i="6"/>
  <c r="E178" i="6"/>
  <c r="F68" i="18" s="1"/>
  <c r="H177" i="6"/>
  <c r="E177" i="6"/>
  <c r="F67" i="18" s="1"/>
  <c r="H174" i="6"/>
  <c r="E174" i="6"/>
  <c r="E64" i="18" s="1"/>
  <c r="I172" i="6"/>
  <c r="F172" i="6"/>
  <c r="G168" i="6"/>
  <c r="D168" i="6"/>
  <c r="G167" i="6"/>
  <c r="D167" i="6"/>
  <c r="G166" i="6"/>
  <c r="D166" i="6"/>
  <c r="G165" i="6"/>
  <c r="D165" i="6"/>
  <c r="G164" i="6"/>
  <c r="D164" i="6"/>
  <c r="G163" i="6"/>
  <c r="D163" i="6"/>
  <c r="G162" i="6"/>
  <c r="D162" i="6"/>
  <c r="I160" i="6"/>
  <c r="I156" i="6" s="1"/>
  <c r="H160" i="6"/>
  <c r="F160" i="6"/>
  <c r="E160" i="6"/>
  <c r="E156" i="6" s="1"/>
  <c r="G159" i="6"/>
  <c r="D159" i="6"/>
  <c r="G158" i="6"/>
  <c r="D158" i="6"/>
  <c r="G155" i="6"/>
  <c r="D155" i="6"/>
  <c r="G154" i="6"/>
  <c r="D154" i="6"/>
  <c r="G153" i="6"/>
  <c r="D153" i="6"/>
  <c r="I152" i="6"/>
  <c r="H152" i="6"/>
  <c r="F152" i="6"/>
  <c r="E152" i="6"/>
  <c r="G151" i="6"/>
  <c r="D151" i="6"/>
  <c r="G150" i="6"/>
  <c r="D150" i="6"/>
  <c r="G149" i="6"/>
  <c r="D149" i="6"/>
  <c r="I148" i="6"/>
  <c r="H148" i="6"/>
  <c r="F148" i="6"/>
  <c r="E148" i="6"/>
  <c r="G147" i="6"/>
  <c r="D147" i="6"/>
  <c r="G146" i="6"/>
  <c r="D146" i="6"/>
  <c r="D145" i="6" s="1"/>
  <c r="I145" i="6"/>
  <c r="H145" i="6"/>
  <c r="F145" i="6"/>
  <c r="E145" i="6"/>
  <c r="G144" i="6"/>
  <c r="D144" i="6"/>
  <c r="G143" i="6"/>
  <c r="D143" i="6"/>
  <c r="G142" i="6"/>
  <c r="D142" i="6"/>
  <c r="G141" i="6"/>
  <c r="D141" i="6"/>
  <c r="G140" i="6"/>
  <c r="D140" i="6"/>
  <c r="G139" i="6"/>
  <c r="D139" i="6"/>
  <c r="I137" i="6"/>
  <c r="H137" i="6"/>
  <c r="F137" i="6"/>
  <c r="E137" i="6"/>
  <c r="G136" i="6"/>
  <c r="D136" i="6"/>
  <c r="G135" i="6"/>
  <c r="D135" i="6"/>
  <c r="G132" i="6"/>
  <c r="D132" i="6"/>
  <c r="I130" i="6"/>
  <c r="H130" i="6"/>
  <c r="F130" i="6"/>
  <c r="E130" i="6"/>
  <c r="N125" i="6"/>
  <c r="K125" i="6"/>
  <c r="G124" i="6"/>
  <c r="D124" i="6"/>
  <c r="H106" i="6"/>
  <c r="H96" i="6"/>
  <c r="H92" i="6" s="1"/>
  <c r="H87" i="6"/>
  <c r="H80" i="6"/>
  <c r="H73" i="6"/>
  <c r="H67" i="6"/>
  <c r="H65" i="6" s="1"/>
  <c r="H57" i="6"/>
  <c r="H54" i="6"/>
  <c r="H43" i="6"/>
  <c r="H40" i="6"/>
  <c r="H34" i="6"/>
  <c r="H29" i="6" s="1"/>
  <c r="H21" i="6"/>
  <c r="H17" i="6"/>
  <c r="E106" i="6"/>
  <c r="E96" i="6"/>
  <c r="E92" i="6" s="1"/>
  <c r="E87" i="6"/>
  <c r="E80" i="6"/>
  <c r="E73" i="6"/>
  <c r="E67" i="6"/>
  <c r="E65" i="6" s="1"/>
  <c r="E57" i="6"/>
  <c r="E54" i="6"/>
  <c r="E43" i="6"/>
  <c r="E40" i="6"/>
  <c r="E34" i="6"/>
  <c r="E29" i="6" s="1"/>
  <c r="E21" i="6"/>
  <c r="E17" i="6"/>
  <c r="H101" i="5"/>
  <c r="H91" i="5"/>
  <c r="H87" i="5" s="1"/>
  <c r="H82" i="5"/>
  <c r="H75" i="5"/>
  <c r="H68" i="5"/>
  <c r="H62" i="5"/>
  <c r="H60" i="5" s="1"/>
  <c r="H52" i="5"/>
  <c r="H49" i="5"/>
  <c r="H38" i="5"/>
  <c r="H35" i="5"/>
  <c r="H29" i="5"/>
  <c r="H24" i="5" s="1"/>
  <c r="H16" i="5"/>
  <c r="H10" i="5" s="1"/>
  <c r="H204" i="5"/>
  <c r="H203" i="5"/>
  <c r="H103" i="17" s="1"/>
  <c r="G103" i="17" s="1"/>
  <c r="H202" i="5"/>
  <c r="H201" i="5"/>
  <c r="H200" i="5"/>
  <c r="H199" i="5"/>
  <c r="H99" i="17" s="1"/>
  <c r="G99" i="17" s="1"/>
  <c r="H198" i="5"/>
  <c r="I196" i="5"/>
  <c r="I192" i="5" s="1"/>
  <c r="H195" i="5"/>
  <c r="H194" i="5"/>
  <c r="H191" i="5"/>
  <c r="H190" i="5"/>
  <c r="G189" i="5"/>
  <c r="I188" i="5"/>
  <c r="H187" i="5"/>
  <c r="H186" i="5"/>
  <c r="H185" i="5"/>
  <c r="I184" i="5"/>
  <c r="H183" i="5"/>
  <c r="H182" i="5"/>
  <c r="I181" i="5"/>
  <c r="H180" i="5"/>
  <c r="H179" i="5"/>
  <c r="H78" i="17" s="1"/>
  <c r="G78" i="17" s="1"/>
  <c r="H178" i="5"/>
  <c r="H177" i="5"/>
  <c r="H176" i="5"/>
  <c r="H175" i="5"/>
  <c r="G175" i="5" s="1"/>
  <c r="I173" i="5"/>
  <c r="H172" i="5"/>
  <c r="H171" i="5"/>
  <c r="H168" i="5"/>
  <c r="G168" i="5" s="1"/>
  <c r="I166" i="5"/>
  <c r="G162" i="5"/>
  <c r="G161" i="5"/>
  <c r="G160" i="5"/>
  <c r="G159" i="5"/>
  <c r="G158" i="5"/>
  <c r="G157" i="5"/>
  <c r="G156" i="5"/>
  <c r="I154" i="5"/>
  <c r="I150" i="5" s="1"/>
  <c r="H154" i="5"/>
  <c r="G153" i="5"/>
  <c r="G152" i="5"/>
  <c r="G149" i="5"/>
  <c r="G148" i="5"/>
  <c r="G147" i="5"/>
  <c r="I146" i="5"/>
  <c r="H146" i="5"/>
  <c r="G145" i="5"/>
  <c r="G144" i="5"/>
  <c r="G143" i="5"/>
  <c r="I142" i="5"/>
  <c r="H142" i="5"/>
  <c r="G141" i="5"/>
  <c r="G140" i="5"/>
  <c r="I139" i="5"/>
  <c r="H139" i="5"/>
  <c r="G138" i="5"/>
  <c r="G137" i="5"/>
  <c r="G136" i="5"/>
  <c r="G135" i="5"/>
  <c r="G134" i="5"/>
  <c r="G133" i="5"/>
  <c r="I131" i="5"/>
  <c r="H131" i="5"/>
  <c r="G130" i="5"/>
  <c r="G129" i="5"/>
  <c r="G126" i="5"/>
  <c r="I124" i="5"/>
  <c r="H124" i="5"/>
  <c r="G118" i="5"/>
  <c r="E101" i="5"/>
  <c r="E91" i="5"/>
  <c r="E87" i="5" s="1"/>
  <c r="E82" i="5"/>
  <c r="E75" i="5"/>
  <c r="E68" i="5"/>
  <c r="E62" i="5"/>
  <c r="E60" i="5" s="1"/>
  <c r="E52" i="5"/>
  <c r="E49" i="5"/>
  <c r="E38" i="5"/>
  <c r="E35" i="5"/>
  <c r="E29" i="5"/>
  <c r="E24" i="5" s="1"/>
  <c r="E16" i="5"/>
  <c r="E10" i="5" s="1"/>
  <c r="E204" i="5"/>
  <c r="E203" i="5"/>
  <c r="E202" i="5"/>
  <c r="E201" i="5"/>
  <c r="E200" i="5"/>
  <c r="E199" i="5"/>
  <c r="E198" i="5"/>
  <c r="E98" i="17" s="1"/>
  <c r="D98" i="17" s="1"/>
  <c r="F196" i="5"/>
  <c r="F192" i="5" s="1"/>
  <c r="E195" i="5"/>
  <c r="E194" i="5"/>
  <c r="E191" i="5"/>
  <c r="E91" i="17" s="1"/>
  <c r="D91" i="17" s="1"/>
  <c r="E190" i="5"/>
  <c r="E90" i="17" s="1"/>
  <c r="D189" i="5"/>
  <c r="F188" i="5"/>
  <c r="E187" i="5"/>
  <c r="E186" i="5"/>
  <c r="E185" i="5"/>
  <c r="F184" i="5"/>
  <c r="E183" i="5"/>
  <c r="E182" i="5"/>
  <c r="F181" i="5"/>
  <c r="E180" i="5"/>
  <c r="E79" i="17" s="1"/>
  <c r="D79" i="17" s="1"/>
  <c r="E179" i="5"/>
  <c r="E78" i="17" s="1"/>
  <c r="F190" i="24" s="1"/>
  <c r="F191" i="24" s="1"/>
  <c r="E178" i="5"/>
  <c r="E77" i="17" s="1"/>
  <c r="D77" i="17" s="1"/>
  <c r="E177" i="5"/>
  <c r="E76" i="17" s="1"/>
  <c r="D76" i="17" s="1"/>
  <c r="E176" i="5"/>
  <c r="E75" i="17" s="1"/>
  <c r="D75" i="17" s="1"/>
  <c r="E175" i="5"/>
  <c r="E74" i="17" s="1"/>
  <c r="F173" i="5"/>
  <c r="E172" i="5"/>
  <c r="E171" i="5"/>
  <c r="E67" i="17" s="1"/>
  <c r="E168" i="5"/>
  <c r="E64" i="17" s="1"/>
  <c r="F166" i="5"/>
  <c r="D162" i="5"/>
  <c r="D161" i="5"/>
  <c r="D160" i="5"/>
  <c r="D159" i="5"/>
  <c r="D158" i="5"/>
  <c r="D157" i="5"/>
  <c r="D156" i="5"/>
  <c r="F154" i="5"/>
  <c r="F150" i="5" s="1"/>
  <c r="E154" i="5"/>
  <c r="D153" i="5"/>
  <c r="D152" i="5"/>
  <c r="D149" i="5"/>
  <c r="D148" i="5"/>
  <c r="D147" i="5"/>
  <c r="F146" i="5"/>
  <c r="E146" i="5"/>
  <c r="D145" i="5"/>
  <c r="D144" i="5"/>
  <c r="D143" i="5"/>
  <c r="F142" i="5"/>
  <c r="E142" i="5"/>
  <c r="D141" i="5"/>
  <c r="D140" i="5"/>
  <c r="F139" i="5"/>
  <c r="E139" i="5"/>
  <c r="D138" i="5"/>
  <c r="D137" i="5"/>
  <c r="D136" i="5"/>
  <c r="D135" i="5"/>
  <c r="D134" i="5"/>
  <c r="D133" i="5"/>
  <c r="F131" i="5"/>
  <c r="F127" i="5" s="1"/>
  <c r="E131" i="5"/>
  <c r="D130" i="5"/>
  <c r="D129" i="5"/>
  <c r="D126" i="5"/>
  <c r="F124" i="5"/>
  <c r="E124" i="5"/>
  <c r="D118" i="5"/>
  <c r="F93" i="13"/>
  <c r="F89" i="13" s="1"/>
  <c r="D86" i="13"/>
  <c r="F85" i="13"/>
  <c r="F80" i="13"/>
  <c r="F77" i="13"/>
  <c r="F69" i="13"/>
  <c r="F62" i="13"/>
  <c r="D58" i="13"/>
  <c r="D56" i="13"/>
  <c r="D55" i="13"/>
  <c r="D54" i="13"/>
  <c r="D53" i="13"/>
  <c r="D52" i="13"/>
  <c r="D51" i="13"/>
  <c r="F49" i="13"/>
  <c r="F45" i="13" s="1"/>
  <c r="E49" i="13"/>
  <c r="D48" i="13"/>
  <c r="D47" i="13"/>
  <c r="D44" i="13"/>
  <c r="D43" i="13"/>
  <c r="D42" i="13"/>
  <c r="F41" i="13"/>
  <c r="E41" i="13"/>
  <c r="D39" i="13"/>
  <c r="D38" i="13"/>
  <c r="D37" i="13"/>
  <c r="F36" i="13"/>
  <c r="E36" i="13"/>
  <c r="D35" i="13"/>
  <c r="D34" i="13"/>
  <c r="F33" i="13"/>
  <c r="E33" i="13"/>
  <c r="D32" i="13"/>
  <c r="D31" i="13"/>
  <c r="D30" i="13"/>
  <c r="D29" i="13"/>
  <c r="D28" i="13"/>
  <c r="D27" i="13"/>
  <c r="F22" i="13"/>
  <c r="E22" i="13"/>
  <c r="D21" i="13"/>
  <c r="D20" i="13"/>
  <c r="D17" i="13"/>
  <c r="F15" i="13"/>
  <c r="E15" i="13"/>
  <c r="E206" i="10"/>
  <c r="E205" i="10"/>
  <c r="E100" i="13" s="1"/>
  <c r="D100" i="13" s="1"/>
  <c r="E204" i="10"/>
  <c r="E203" i="10"/>
  <c r="E202" i="10"/>
  <c r="E201" i="10"/>
  <c r="E96" i="13" s="1"/>
  <c r="E200" i="10"/>
  <c r="F198" i="10"/>
  <c r="F194" i="10" s="1"/>
  <c r="E197" i="10"/>
  <c r="E196" i="10"/>
  <c r="E193" i="10"/>
  <c r="E192" i="10"/>
  <c r="D191" i="10"/>
  <c r="F190" i="10"/>
  <c r="E189" i="10"/>
  <c r="E188" i="10"/>
  <c r="E82" i="13" s="1"/>
  <c r="D82" i="13" s="1"/>
  <c r="E187" i="10"/>
  <c r="F186" i="10"/>
  <c r="E185" i="10"/>
  <c r="E184" i="10"/>
  <c r="F183" i="10"/>
  <c r="E182" i="10"/>
  <c r="E181" i="10"/>
  <c r="E75" i="13" s="1"/>
  <c r="D75" i="13" s="1"/>
  <c r="E180" i="10"/>
  <c r="E179" i="10"/>
  <c r="E178" i="10"/>
  <c r="E177" i="10"/>
  <c r="E71" i="13" s="1"/>
  <c r="D71" i="13" s="1"/>
  <c r="F175" i="10"/>
  <c r="E174" i="10"/>
  <c r="E173" i="10"/>
  <c r="E67" i="13" s="1"/>
  <c r="D67" i="13" s="1"/>
  <c r="E170" i="10"/>
  <c r="F168" i="10"/>
  <c r="D164" i="10"/>
  <c r="D163" i="10"/>
  <c r="D162" i="10"/>
  <c r="D161" i="10"/>
  <c r="D160" i="10"/>
  <c r="D159" i="10"/>
  <c r="D158" i="10"/>
  <c r="F156" i="10"/>
  <c r="F152" i="10" s="1"/>
  <c r="E156" i="10"/>
  <c r="D155" i="10"/>
  <c r="D154" i="10"/>
  <c r="D151" i="10"/>
  <c r="D150" i="10"/>
  <c r="D149" i="10"/>
  <c r="F148" i="10"/>
  <c r="E148" i="10"/>
  <c r="D147" i="10"/>
  <c r="D146" i="10"/>
  <c r="D145" i="10"/>
  <c r="F144" i="10"/>
  <c r="E144" i="10"/>
  <c r="D143" i="10"/>
  <c r="D142" i="10"/>
  <c r="F141" i="10"/>
  <c r="E141" i="10"/>
  <c r="D140" i="10"/>
  <c r="D139" i="10"/>
  <c r="D138" i="10"/>
  <c r="D137" i="10"/>
  <c r="D136" i="10"/>
  <c r="D135" i="10"/>
  <c r="F133" i="10"/>
  <c r="E133" i="10"/>
  <c r="D132" i="10"/>
  <c r="D131" i="10"/>
  <c r="D128" i="10"/>
  <c r="F126" i="10"/>
  <c r="E126" i="10"/>
  <c r="D120" i="10"/>
  <c r="E212" i="11"/>
  <c r="E211" i="11"/>
  <c r="E210" i="11"/>
  <c r="E209" i="11"/>
  <c r="E101" i="30" s="1"/>
  <c r="D101" i="30" s="1"/>
  <c r="E208" i="11"/>
  <c r="E207" i="11"/>
  <c r="E99" i="30" s="1"/>
  <c r="D99" i="30" s="1"/>
  <c r="E206" i="11"/>
  <c r="F204" i="11"/>
  <c r="F200" i="11" s="1"/>
  <c r="E203" i="11"/>
  <c r="E202" i="11"/>
  <c r="E94" i="30" s="1"/>
  <c r="E199" i="11"/>
  <c r="E198" i="11"/>
  <c r="E90" i="30" s="1"/>
  <c r="D197" i="11"/>
  <c r="F196" i="11"/>
  <c r="E195" i="11"/>
  <c r="E194" i="11"/>
  <c r="E193" i="11"/>
  <c r="F192" i="11"/>
  <c r="E191" i="11"/>
  <c r="E190" i="11"/>
  <c r="F189" i="11"/>
  <c r="E188" i="11"/>
  <c r="E187" i="11"/>
  <c r="E78" i="30" s="1"/>
  <c r="D78" i="30" s="1"/>
  <c r="E186" i="11"/>
  <c r="E185" i="11"/>
  <c r="E184" i="11"/>
  <c r="E183" i="11"/>
  <c r="E74" i="30" s="1"/>
  <c r="F181" i="11"/>
  <c r="E180" i="11"/>
  <c r="E179" i="11"/>
  <c r="E176" i="11"/>
  <c r="E64" i="30" s="1"/>
  <c r="F174" i="11"/>
  <c r="D170" i="11"/>
  <c r="D169" i="11"/>
  <c r="D168" i="11"/>
  <c r="D167" i="11"/>
  <c r="D166" i="11"/>
  <c r="D165" i="11"/>
  <c r="D164" i="11"/>
  <c r="F162" i="11"/>
  <c r="F158" i="11" s="1"/>
  <c r="E162" i="11"/>
  <c r="D161" i="11"/>
  <c r="D160" i="11"/>
  <c r="D157" i="11"/>
  <c r="D156" i="11"/>
  <c r="D155" i="11"/>
  <c r="F154" i="11"/>
  <c r="E154" i="11"/>
  <c r="D153" i="11"/>
  <c r="D152" i="11"/>
  <c r="D151" i="11"/>
  <c r="F150" i="11"/>
  <c r="E150" i="11"/>
  <c r="D149" i="11"/>
  <c r="D148" i="11"/>
  <c r="F147" i="11"/>
  <c r="E147" i="11"/>
  <c r="D146" i="11"/>
  <c r="D145" i="11"/>
  <c r="D144" i="11"/>
  <c r="D143" i="11"/>
  <c r="D142" i="11"/>
  <c r="D141" i="11"/>
  <c r="F139" i="11"/>
  <c r="F135" i="11" s="1"/>
  <c r="E139" i="11"/>
  <c r="D138" i="11"/>
  <c r="D137" i="11"/>
  <c r="D134" i="11"/>
  <c r="F132" i="11"/>
  <c r="E132" i="11"/>
  <c r="E129" i="10" l="1"/>
  <c r="H133" i="6"/>
  <c r="G145" i="6"/>
  <c r="E127" i="5"/>
  <c r="I127" i="5"/>
  <c r="I122" i="5" s="1"/>
  <c r="I119" i="5" s="1"/>
  <c r="I96" i="18"/>
  <c r="D205" i="10"/>
  <c r="F177" i="11"/>
  <c r="E172" i="6"/>
  <c r="I69" i="18"/>
  <c r="H194" i="6"/>
  <c r="D78" i="17"/>
  <c r="I169" i="5"/>
  <c r="D15" i="13"/>
  <c r="D174" i="6"/>
  <c r="F170" i="6"/>
  <c r="D204" i="6"/>
  <c r="I68" i="18"/>
  <c r="G68" i="18" s="1"/>
  <c r="E90" i="18"/>
  <c r="F90" i="18"/>
  <c r="E194" i="6"/>
  <c r="D194" i="6" s="1"/>
  <c r="I94" i="18"/>
  <c r="D154" i="11"/>
  <c r="D160" i="6"/>
  <c r="I67" i="18"/>
  <c r="E91" i="18"/>
  <c r="F91" i="18"/>
  <c r="F86" i="18"/>
  <c r="D86" i="18" s="1"/>
  <c r="G194" i="6"/>
  <c r="D196" i="6"/>
  <c r="F78" i="18"/>
  <c r="D78" i="18" s="1"/>
  <c r="F79" i="18"/>
  <c r="D79" i="18" s="1"/>
  <c r="F101" i="18"/>
  <c r="D101" i="18" s="1"/>
  <c r="F102" i="18"/>
  <c r="D102" i="18" s="1"/>
  <c r="F103" i="18"/>
  <c r="D103" i="18" s="1"/>
  <c r="F105" i="18"/>
  <c r="D105" i="18" s="1"/>
  <c r="F76" i="18"/>
  <c r="D76" i="18" s="1"/>
  <c r="F77" i="18"/>
  <c r="D77" i="18" s="1"/>
  <c r="D185" i="6"/>
  <c r="I164" i="5"/>
  <c r="D127" i="5"/>
  <c r="D142" i="5"/>
  <c r="D146" i="5"/>
  <c r="E166" i="5"/>
  <c r="D166" i="5" s="1"/>
  <c r="D168" i="5"/>
  <c r="D176" i="5"/>
  <c r="D207" i="11"/>
  <c r="G178" i="6"/>
  <c r="D207" i="6"/>
  <c r="D181" i="6"/>
  <c r="D132" i="11"/>
  <c r="E174" i="11"/>
  <c r="D174" i="11" s="1"/>
  <c r="D187" i="11"/>
  <c r="D198" i="11"/>
  <c r="D126" i="10"/>
  <c r="D181" i="10"/>
  <c r="D188" i="10"/>
  <c r="E188" i="5"/>
  <c r="D188" i="5" s="1"/>
  <c r="G139" i="5"/>
  <c r="G199" i="5"/>
  <c r="H10" i="6"/>
  <c r="D130" i="6"/>
  <c r="F133" i="6"/>
  <c r="F128" i="6" s="1"/>
  <c r="G148" i="6"/>
  <c r="D183" i="6"/>
  <c r="F130" i="11"/>
  <c r="F127" i="11" s="1"/>
  <c r="D176" i="11"/>
  <c r="D148" i="10"/>
  <c r="F65" i="13"/>
  <c r="G142" i="5"/>
  <c r="G154" i="5"/>
  <c r="H184" i="5"/>
  <c r="G130" i="6"/>
  <c r="G137" i="6"/>
  <c r="G152" i="6"/>
  <c r="F156" i="6"/>
  <c r="D156" i="6" s="1"/>
  <c r="D193" i="6"/>
  <c r="G200" i="6"/>
  <c r="D210" i="6"/>
  <c r="E186" i="10"/>
  <c r="D186" i="10" s="1"/>
  <c r="D190" i="11"/>
  <c r="E81" i="30"/>
  <c r="D81" i="30" s="1"/>
  <c r="D199" i="11"/>
  <c r="E91" i="30"/>
  <c r="D91" i="30" s="1"/>
  <c r="E168" i="10"/>
  <c r="E64" i="13"/>
  <c r="D179" i="10"/>
  <c r="E73" i="13"/>
  <c r="D73" i="13" s="1"/>
  <c r="F171" i="10"/>
  <c r="F166" i="10" s="1"/>
  <c r="D189" i="10"/>
  <c r="E83" i="13"/>
  <c r="D83" i="13" s="1"/>
  <c r="D192" i="10"/>
  <c r="E87" i="13"/>
  <c r="D203" i="10"/>
  <c r="E98" i="13"/>
  <c r="D98" i="13" s="1"/>
  <c r="D206" i="10"/>
  <c r="E102" i="13"/>
  <c r="D102" i="13" s="1"/>
  <c r="D182" i="5"/>
  <c r="E81" i="17"/>
  <c r="D81" i="17" s="1"/>
  <c r="D90" i="17"/>
  <c r="E88" i="17"/>
  <c r="D88" i="17" s="1"/>
  <c r="D194" i="5"/>
  <c r="E94" i="17"/>
  <c r="D94" i="17" s="1"/>
  <c r="G172" i="5"/>
  <c r="H68" i="17"/>
  <c r="G68" i="17" s="1"/>
  <c r="G180" i="5"/>
  <c r="H79" i="17"/>
  <c r="G79" i="17" s="1"/>
  <c r="G182" i="5"/>
  <c r="H81" i="17"/>
  <c r="G81" i="17" s="1"/>
  <c r="G184" i="5"/>
  <c r="G190" i="5"/>
  <c r="H90" i="17"/>
  <c r="G194" i="5"/>
  <c r="H94" i="17"/>
  <c r="G94" i="17" s="1"/>
  <c r="G174" i="6"/>
  <c r="H64" i="18"/>
  <c r="G185" i="6"/>
  <c r="G78" i="18"/>
  <c r="D188" i="6"/>
  <c r="E81" i="18"/>
  <c r="D81" i="18" s="1"/>
  <c r="G193" i="6"/>
  <c r="G86" i="18"/>
  <c r="G196" i="6"/>
  <c r="H90" i="18"/>
  <c r="G204" i="6"/>
  <c r="H98" i="18"/>
  <c r="G98" i="18" s="1"/>
  <c r="G207" i="6"/>
  <c r="G101" i="18"/>
  <c r="D139" i="11"/>
  <c r="D150" i="11"/>
  <c r="D162" i="11"/>
  <c r="F172" i="11"/>
  <c r="D64" i="30"/>
  <c r="E62" i="30"/>
  <c r="D62" i="30" s="1"/>
  <c r="D184" i="11"/>
  <c r="E75" i="30"/>
  <c r="D75" i="30" s="1"/>
  <c r="D193" i="11"/>
  <c r="E84" i="30"/>
  <c r="D84" i="30" s="1"/>
  <c r="D195" i="11"/>
  <c r="E86" i="30"/>
  <c r="D86" i="30" s="1"/>
  <c r="D90" i="30"/>
  <c r="D206" i="11"/>
  <c r="E98" i="30"/>
  <c r="D98" i="30" s="1"/>
  <c r="D209" i="11"/>
  <c r="D210" i="11"/>
  <c r="E102" i="30"/>
  <c r="D102" i="30" s="1"/>
  <c r="D133" i="10"/>
  <c r="D173" i="10"/>
  <c r="D177" i="10"/>
  <c r="D178" i="10"/>
  <c r="E72" i="13"/>
  <c r="D72" i="13" s="1"/>
  <c r="D180" i="10"/>
  <c r="E74" i="13"/>
  <c r="D74" i="13" s="1"/>
  <c r="D185" i="10"/>
  <c r="E79" i="13"/>
  <c r="D79" i="13" s="1"/>
  <c r="E190" i="10"/>
  <c r="D190" i="10" s="1"/>
  <c r="D193" i="10"/>
  <c r="E88" i="13"/>
  <c r="D88" i="13" s="1"/>
  <c r="D197" i="10"/>
  <c r="E92" i="13"/>
  <c r="D92" i="13" s="1"/>
  <c r="D200" i="10"/>
  <c r="E95" i="13"/>
  <c r="D95" i="13" s="1"/>
  <c r="D36" i="13"/>
  <c r="D49" i="13"/>
  <c r="F122" i="5"/>
  <c r="F119" i="5" s="1"/>
  <c r="D64" i="17"/>
  <c r="E62" i="17"/>
  <c r="D62" i="17" s="1"/>
  <c r="D172" i="5"/>
  <c r="E68" i="17"/>
  <c r="D68" i="17" s="1"/>
  <c r="D180" i="5"/>
  <c r="F169" i="5"/>
  <c r="F164" i="5" s="1"/>
  <c r="D185" i="5"/>
  <c r="E84" i="17"/>
  <c r="D84" i="17" s="1"/>
  <c r="D190" i="5"/>
  <c r="D191" i="5"/>
  <c r="D195" i="5"/>
  <c r="E95" i="17"/>
  <c r="D95" i="17" s="1"/>
  <c r="G124" i="5"/>
  <c r="G131" i="5"/>
  <c r="G146" i="5"/>
  <c r="H166" i="5"/>
  <c r="H64" i="17"/>
  <c r="G185" i="5"/>
  <c r="H84" i="17"/>
  <c r="G84" i="17" s="1"/>
  <c r="G191" i="5"/>
  <c r="H91" i="17"/>
  <c r="G91" i="17" s="1"/>
  <c r="G195" i="5"/>
  <c r="H95" i="17"/>
  <c r="G95" i="17" s="1"/>
  <c r="H66" i="5"/>
  <c r="D137" i="6"/>
  <c r="D148" i="6"/>
  <c r="D152" i="6"/>
  <c r="G160" i="6"/>
  <c r="D172" i="6"/>
  <c r="D64" i="18"/>
  <c r="E62" i="18"/>
  <c r="D62" i="18" s="1"/>
  <c r="I175" i="6"/>
  <c r="I170" i="6" s="1"/>
  <c r="D182" i="6"/>
  <c r="G182" i="6"/>
  <c r="H75" i="18"/>
  <c r="G75" i="18" s="1"/>
  <c r="D184" i="6"/>
  <c r="D186" i="6"/>
  <c r="G188" i="6"/>
  <c r="D191" i="6"/>
  <c r="G191" i="6"/>
  <c r="H84" i="18"/>
  <c r="G84" i="18" s="1"/>
  <c r="D197" i="6"/>
  <c r="G197" i="6"/>
  <c r="H91" i="18"/>
  <c r="G91" i="18" s="1"/>
  <c r="D205" i="6"/>
  <c r="G205" i="6"/>
  <c r="H99" i="18"/>
  <c r="G99" i="18" s="1"/>
  <c r="D208" i="6"/>
  <c r="G208" i="6"/>
  <c r="G102" i="18"/>
  <c r="G198" i="5"/>
  <c r="H98" i="17"/>
  <c r="G98" i="17" s="1"/>
  <c r="G201" i="5"/>
  <c r="H101" i="17"/>
  <c r="G101" i="17" s="1"/>
  <c r="G203" i="5"/>
  <c r="D201" i="5"/>
  <c r="E101" i="17"/>
  <c r="D101" i="17" s="1"/>
  <c r="D199" i="5"/>
  <c r="E99" i="17"/>
  <c r="D99" i="17" s="1"/>
  <c r="G176" i="5"/>
  <c r="H75" i="17"/>
  <c r="G75" i="17" s="1"/>
  <c r="G179" i="5"/>
  <c r="D177" i="5"/>
  <c r="G186" i="6"/>
  <c r="H79" i="18"/>
  <c r="G79" i="18" s="1"/>
  <c r="G177" i="6"/>
  <c r="H37" i="6"/>
  <c r="G181" i="6"/>
  <c r="G74" i="18"/>
  <c r="G183" i="6"/>
  <c r="G76" i="18"/>
  <c r="G184" i="6"/>
  <c r="G189" i="6"/>
  <c r="G187" i="6" s="1"/>
  <c r="G82" i="18"/>
  <c r="G80" i="18" s="1"/>
  <c r="H80" i="18"/>
  <c r="H187" i="6"/>
  <c r="G192" i="6"/>
  <c r="G201" i="6"/>
  <c r="G206" i="6"/>
  <c r="G100" i="18"/>
  <c r="G209" i="6"/>
  <c r="G103" i="18"/>
  <c r="G210" i="6"/>
  <c r="E202" i="6"/>
  <c r="D202" i="6" s="1"/>
  <c r="D209" i="6"/>
  <c r="D206" i="6"/>
  <c r="E96" i="18"/>
  <c r="D100" i="18"/>
  <c r="D201" i="6"/>
  <c r="D95" i="18"/>
  <c r="D200" i="6"/>
  <c r="D85" i="18"/>
  <c r="E83" i="18"/>
  <c r="D83" i="18" s="1"/>
  <c r="E190" i="6"/>
  <c r="D190" i="6" s="1"/>
  <c r="D192" i="6"/>
  <c r="D189" i="6"/>
  <c r="D187" i="6" s="1"/>
  <c r="E179" i="6"/>
  <c r="D179" i="6" s="1"/>
  <c r="D74" i="18"/>
  <c r="E69" i="18"/>
  <c r="D178" i="6"/>
  <c r="D68" i="18"/>
  <c r="D177" i="6"/>
  <c r="E10" i="6"/>
  <c r="G204" i="5"/>
  <c r="H105" i="17"/>
  <c r="G105" i="17" s="1"/>
  <c r="G202" i="5"/>
  <c r="H102" i="17"/>
  <c r="G102" i="17" s="1"/>
  <c r="H196" i="5"/>
  <c r="G196" i="5" s="1"/>
  <c r="G200" i="5"/>
  <c r="H100" i="17"/>
  <c r="G187" i="5"/>
  <c r="H86" i="17"/>
  <c r="G86" i="17" s="1"/>
  <c r="G186" i="5"/>
  <c r="H85" i="17"/>
  <c r="G183" i="5"/>
  <c r="G181" i="5" s="1"/>
  <c r="H82" i="17"/>
  <c r="H32" i="5"/>
  <c r="H22" i="5" s="1"/>
  <c r="H20" i="5" s="1"/>
  <c r="H9" i="5" s="1"/>
  <c r="G178" i="5"/>
  <c r="H77" i="17"/>
  <c r="G177" i="5"/>
  <c r="H76" i="17"/>
  <c r="G76" i="17" s="1"/>
  <c r="H173" i="5"/>
  <c r="G173" i="5" s="1"/>
  <c r="H74" i="17"/>
  <c r="G171" i="5"/>
  <c r="H67" i="17"/>
  <c r="D204" i="5"/>
  <c r="E105" i="17"/>
  <c r="D105" i="17" s="1"/>
  <c r="D203" i="5"/>
  <c r="E103" i="17"/>
  <c r="D103" i="17" s="1"/>
  <c r="D202" i="5"/>
  <c r="E102" i="17"/>
  <c r="D102" i="17" s="1"/>
  <c r="D200" i="5"/>
  <c r="E100" i="17"/>
  <c r="D187" i="5"/>
  <c r="E86" i="17"/>
  <c r="D86" i="17" s="1"/>
  <c r="D186" i="5"/>
  <c r="E85" i="17"/>
  <c r="D183" i="5"/>
  <c r="D181" i="5" s="1"/>
  <c r="E82" i="17"/>
  <c r="D179" i="5"/>
  <c r="D178" i="5"/>
  <c r="D175" i="5"/>
  <c r="D74" i="17"/>
  <c r="E69" i="17"/>
  <c r="D69" i="17" s="1"/>
  <c r="E173" i="5"/>
  <c r="D173" i="5" s="1"/>
  <c r="D67" i="17"/>
  <c r="D182" i="10"/>
  <c r="E76" i="13"/>
  <c r="D76" i="13" s="1"/>
  <c r="D204" i="10"/>
  <c r="E99" i="13"/>
  <c r="D99" i="13" s="1"/>
  <c r="D202" i="10"/>
  <c r="E97" i="13"/>
  <c r="D97" i="13" s="1"/>
  <c r="D96" i="13"/>
  <c r="D201" i="10"/>
  <c r="D196" i="10"/>
  <c r="E91" i="13"/>
  <c r="D91" i="13" s="1"/>
  <c r="D187" i="10"/>
  <c r="E81" i="13"/>
  <c r="D184" i="10"/>
  <c r="E78" i="13"/>
  <c r="D174" i="10"/>
  <c r="E68" i="13"/>
  <c r="D68" i="13" s="1"/>
  <c r="D212" i="11"/>
  <c r="E105" i="30"/>
  <c r="D105" i="30" s="1"/>
  <c r="D211" i="11"/>
  <c r="E103" i="30"/>
  <c r="D103" i="30" s="1"/>
  <c r="D208" i="11"/>
  <c r="E100" i="30"/>
  <c r="D203" i="11"/>
  <c r="E95" i="30"/>
  <c r="D95" i="30" s="1"/>
  <c r="D202" i="11"/>
  <c r="D194" i="11"/>
  <c r="E85" i="30"/>
  <c r="D191" i="11"/>
  <c r="D189" i="11" s="1"/>
  <c r="E82" i="30"/>
  <c r="D188" i="11"/>
  <c r="E79" i="30"/>
  <c r="D79" i="30" s="1"/>
  <c r="D186" i="11"/>
  <c r="E77" i="30"/>
  <c r="D77" i="30" s="1"/>
  <c r="D185" i="11"/>
  <c r="D76" i="30"/>
  <c r="D74" i="30"/>
  <c r="D183" i="11"/>
  <c r="D180" i="11"/>
  <c r="E68" i="30"/>
  <c r="D68" i="30" s="1"/>
  <c r="D179" i="11"/>
  <c r="E67" i="30"/>
  <c r="F60" i="13"/>
  <c r="D33" i="13"/>
  <c r="E133" i="6"/>
  <c r="I133" i="6"/>
  <c r="I128" i="6" s="1"/>
  <c r="I125" i="6" s="1"/>
  <c r="E187" i="6"/>
  <c r="H128" i="6"/>
  <c r="H156" i="6"/>
  <c r="G156" i="6" s="1"/>
  <c r="H172" i="6"/>
  <c r="H179" i="6"/>
  <c r="H190" i="6"/>
  <c r="G190" i="6" s="1"/>
  <c r="H202" i="6"/>
  <c r="E71" i="6"/>
  <c r="H71" i="6"/>
  <c r="E37" i="6"/>
  <c r="H188" i="5"/>
  <c r="G188" i="5" s="1"/>
  <c r="G166" i="5"/>
  <c r="H181" i="5"/>
  <c r="H150" i="5"/>
  <c r="G150" i="5" s="1"/>
  <c r="H127" i="5"/>
  <c r="E18" i="13"/>
  <c r="D41" i="13"/>
  <c r="F18" i="13"/>
  <c r="F13" i="13" s="1"/>
  <c r="D144" i="10"/>
  <c r="D170" i="10"/>
  <c r="E175" i="10"/>
  <c r="D175" i="10" s="1"/>
  <c r="E198" i="10"/>
  <c r="D198" i="10" s="1"/>
  <c r="F129" i="10"/>
  <c r="D129" i="10" s="1"/>
  <c r="D141" i="10"/>
  <c r="D156" i="10"/>
  <c r="D147" i="11"/>
  <c r="E204" i="11"/>
  <c r="D204" i="11" s="1"/>
  <c r="E135" i="11"/>
  <c r="D135" i="11" s="1"/>
  <c r="E192" i="11"/>
  <c r="D192" i="11" s="1"/>
  <c r="E196" i="5"/>
  <c r="D196" i="5" s="1"/>
  <c r="E32" i="5"/>
  <c r="E66" i="5"/>
  <c r="D124" i="5"/>
  <c r="D139" i="5"/>
  <c r="D154" i="5"/>
  <c r="E184" i="5"/>
  <c r="D184" i="5" s="1"/>
  <c r="D198" i="5"/>
  <c r="D131" i="5"/>
  <c r="E122" i="5"/>
  <c r="D171" i="5"/>
  <c r="E181" i="5"/>
  <c r="E150" i="5"/>
  <c r="D150" i="5" s="1"/>
  <c r="D22" i="13"/>
  <c r="E45" i="13"/>
  <c r="D45" i="13" s="1"/>
  <c r="D168" i="10"/>
  <c r="E124" i="10"/>
  <c r="E183" i="10"/>
  <c r="E152" i="10"/>
  <c r="D152" i="10" s="1"/>
  <c r="E189" i="11"/>
  <c r="E196" i="11"/>
  <c r="D196" i="11" s="1"/>
  <c r="E181" i="11"/>
  <c r="D181" i="11" s="1"/>
  <c r="E158" i="11"/>
  <c r="D158" i="11" s="1"/>
  <c r="I92" i="18" l="1"/>
  <c r="G77" i="17"/>
  <c r="F185" i="25"/>
  <c r="F187" i="25" s="1"/>
  <c r="F10" i="13"/>
  <c r="D90" i="18"/>
  <c r="D183" i="10"/>
  <c r="E130" i="11"/>
  <c r="E198" i="6"/>
  <c r="D198" i="6" s="1"/>
  <c r="E88" i="18"/>
  <c r="I65" i="18"/>
  <c r="I60" i="18" s="1"/>
  <c r="I10" i="18" s="1"/>
  <c r="G67" i="18"/>
  <c r="G94" i="18"/>
  <c r="D91" i="18"/>
  <c r="F69" i="18"/>
  <c r="F65" i="18" s="1"/>
  <c r="F88" i="18"/>
  <c r="F96" i="18"/>
  <c r="F92" i="18" s="1"/>
  <c r="H192" i="5"/>
  <c r="G192" i="5" s="1"/>
  <c r="E175" i="6"/>
  <c r="D175" i="6" s="1"/>
  <c r="E200" i="11"/>
  <c r="D200" i="11" s="1"/>
  <c r="E69" i="13"/>
  <c r="D69" i="13" s="1"/>
  <c r="F125" i="6"/>
  <c r="D18" i="13"/>
  <c r="D64" i="13"/>
  <c r="E62" i="13"/>
  <c r="D62" i="13" s="1"/>
  <c r="F124" i="10"/>
  <c r="F121" i="10" s="1"/>
  <c r="G64" i="17"/>
  <c r="H62" i="17"/>
  <c r="G62" i="17" s="1"/>
  <c r="E88" i="30"/>
  <c r="D88" i="30" s="1"/>
  <c r="G90" i="18"/>
  <c r="H88" i="18"/>
  <c r="G88" i="18" s="1"/>
  <c r="G64" i="18"/>
  <c r="H62" i="18"/>
  <c r="G62" i="18" s="1"/>
  <c r="H88" i="17"/>
  <c r="G88" i="17" s="1"/>
  <c r="G90" i="17"/>
  <c r="D87" i="13"/>
  <c r="E85" i="13"/>
  <c r="D85" i="13" s="1"/>
  <c r="H27" i="6"/>
  <c r="H25" i="6" s="1"/>
  <c r="H9" i="6" s="1"/>
  <c r="H69" i="18"/>
  <c r="G69" i="18" s="1"/>
  <c r="G77" i="18"/>
  <c r="G85" i="18"/>
  <c r="H83" i="18"/>
  <c r="G105" i="18"/>
  <c r="H96" i="18"/>
  <c r="D94" i="18"/>
  <c r="E92" i="18"/>
  <c r="D82" i="18"/>
  <c r="D80" i="18" s="1"/>
  <c r="E80" i="18"/>
  <c r="E65" i="18" s="1"/>
  <c r="D67" i="18"/>
  <c r="G100" i="17"/>
  <c r="H96" i="17"/>
  <c r="H83" i="17"/>
  <c r="G83" i="17" s="1"/>
  <c r="G85" i="17"/>
  <c r="H80" i="17"/>
  <c r="G82" i="17"/>
  <c r="G80" i="17" s="1"/>
  <c r="H169" i="5"/>
  <c r="G169" i="5" s="1"/>
  <c r="H69" i="17"/>
  <c r="G69" i="17" s="1"/>
  <c r="G74" i="17"/>
  <c r="G67" i="17"/>
  <c r="E192" i="5"/>
  <c r="D192" i="5" s="1"/>
  <c r="D100" i="17"/>
  <c r="E96" i="17"/>
  <c r="E22" i="5"/>
  <c r="E20" i="5" s="1"/>
  <c r="E9" i="5" s="1"/>
  <c r="E83" i="17"/>
  <c r="D83" i="17" s="1"/>
  <c r="D85" i="17"/>
  <c r="D82" i="17"/>
  <c r="D80" i="17" s="1"/>
  <c r="E80" i="17"/>
  <c r="E93" i="13"/>
  <c r="D93" i="13" s="1"/>
  <c r="D81" i="13"/>
  <c r="E80" i="13"/>
  <c r="D80" i="13" s="1"/>
  <c r="D78" i="13"/>
  <c r="D77" i="13" s="1"/>
  <c r="E77" i="13"/>
  <c r="D100" i="30"/>
  <c r="E96" i="30"/>
  <c r="D96" i="30" s="1"/>
  <c r="D94" i="30"/>
  <c r="D85" i="30"/>
  <c r="E83" i="30"/>
  <c r="D83" i="30" s="1"/>
  <c r="D82" i="30"/>
  <c r="D80" i="30" s="1"/>
  <c r="E80" i="30"/>
  <c r="E69" i="30"/>
  <c r="D69" i="30" s="1"/>
  <c r="D67" i="30"/>
  <c r="E13" i="13"/>
  <c r="G179" i="6"/>
  <c r="H175" i="6"/>
  <c r="G175" i="6" s="1"/>
  <c r="G172" i="6"/>
  <c r="E128" i="6"/>
  <c r="D133" i="6"/>
  <c r="G202" i="6"/>
  <c r="H198" i="6"/>
  <c r="G198" i="6" s="1"/>
  <c r="G133" i="6"/>
  <c r="G128" i="6"/>
  <c r="E27" i="6"/>
  <c r="E25" i="6" s="1"/>
  <c r="E9" i="6" s="1"/>
  <c r="G127" i="5"/>
  <c r="H122" i="5"/>
  <c r="E171" i="10"/>
  <c r="D171" i="10" s="1"/>
  <c r="E194" i="10"/>
  <c r="D194" i="10" s="1"/>
  <c r="E177" i="11"/>
  <c r="D177" i="11" s="1"/>
  <c r="E169" i="5"/>
  <c r="D169" i="5" s="1"/>
  <c r="D122" i="5"/>
  <c r="D124" i="10"/>
  <c r="D130" i="11"/>
  <c r="D88" i="18" l="1"/>
  <c r="D96" i="18"/>
  <c r="D92" i="18"/>
  <c r="D69" i="18"/>
  <c r="F60" i="18"/>
  <c r="F10" i="18" s="1"/>
  <c r="E170" i="6"/>
  <c r="D170" i="6" s="1"/>
  <c r="E65" i="17"/>
  <c r="D65" i="17" s="1"/>
  <c r="G83" i="18"/>
  <c r="H65" i="18"/>
  <c r="G96" i="18"/>
  <c r="H92" i="18"/>
  <c r="D65" i="18"/>
  <c r="E60" i="18"/>
  <c r="H92" i="17"/>
  <c r="G92" i="17" s="1"/>
  <c r="G96" i="17"/>
  <c r="H164" i="5"/>
  <c r="G164" i="5" s="1"/>
  <c r="H65" i="17"/>
  <c r="G65" i="17" s="1"/>
  <c r="E92" i="17"/>
  <c r="D92" i="17" s="1"/>
  <c r="D96" i="17"/>
  <c r="E89" i="13"/>
  <c r="E65" i="13"/>
  <c r="E60" i="13" s="1"/>
  <c r="D60" i="13" s="1"/>
  <c r="E166" i="10"/>
  <c r="D166" i="10" s="1"/>
  <c r="E92" i="30"/>
  <c r="D92" i="30" s="1"/>
  <c r="E172" i="11"/>
  <c r="D172" i="11" s="1"/>
  <c r="E65" i="30"/>
  <c r="D65" i="30" s="1"/>
  <c r="D13" i="13"/>
  <c r="H170" i="6"/>
  <c r="D128" i="6"/>
  <c r="G122" i="5"/>
  <c r="E121" i="10"/>
  <c r="D121" i="10" s="1"/>
  <c r="E164" i="5"/>
  <c r="D89" i="13" l="1"/>
  <c r="E10" i="13"/>
  <c r="D10" i="13" s="1"/>
  <c r="E60" i="17"/>
  <c r="D60" i="17" s="1"/>
  <c r="E125" i="6"/>
  <c r="D125" i="6" s="1"/>
  <c r="L125" i="6" s="1"/>
  <c r="M125" i="6" s="1"/>
  <c r="D65" i="13"/>
  <c r="G65" i="18"/>
  <c r="H60" i="18"/>
  <c r="G60" i="18" s="1"/>
  <c r="G92" i="18"/>
  <c r="D60" i="18"/>
  <c r="E10" i="18"/>
  <c r="D10" i="18" s="1"/>
  <c r="H119" i="5"/>
  <c r="G119" i="5" s="1"/>
  <c r="H60" i="17"/>
  <c r="G60" i="17" s="1"/>
  <c r="E127" i="11"/>
  <c r="D127" i="11" s="1"/>
  <c r="E60" i="30"/>
  <c r="E10" i="30" s="1"/>
  <c r="D10" i="30" s="1"/>
  <c r="G170" i="6"/>
  <c r="H125" i="6"/>
  <c r="G125" i="6" s="1"/>
  <c r="O125" i="6" s="1"/>
  <c r="P125" i="6" s="1"/>
  <c r="D164" i="5"/>
  <c r="E119" i="5"/>
  <c r="D119" i="5" s="1"/>
  <c r="E10" i="17" l="1"/>
  <c r="D10" i="17" s="1"/>
  <c r="H10" i="18"/>
  <c r="G10" i="18" s="1"/>
  <c r="H10" i="17"/>
  <c r="G10" i="17" s="1"/>
  <c r="D60" i="30"/>
  <c r="H119" i="9"/>
  <c r="E199" i="9"/>
  <c r="E99" i="1" s="1"/>
  <c r="E200" i="9"/>
  <c r="E100" i="1" s="1"/>
  <c r="E201" i="9"/>
  <c r="E101" i="1" s="1"/>
  <c r="E202" i="9"/>
  <c r="E102" i="1" s="1"/>
  <c r="E203" i="9"/>
  <c r="E103" i="1" s="1"/>
  <c r="E204" i="9"/>
  <c r="E105" i="1" s="1"/>
  <c r="E198" i="9"/>
  <c r="E98" i="1" s="1"/>
  <c r="E195" i="9"/>
  <c r="E95" i="1" s="1"/>
  <c r="E194" i="9"/>
  <c r="E94" i="1" s="1"/>
  <c r="E191" i="9"/>
  <c r="E91" i="1" s="1"/>
  <c r="E190" i="9" l="1"/>
  <c r="E187" i="9"/>
  <c r="E186" i="9"/>
  <c r="E185" i="9"/>
  <c r="E84" i="1" s="1"/>
  <c r="E182" i="9"/>
  <c r="E183" i="9"/>
  <c r="D183" i="9" s="1"/>
  <c r="E180" i="9"/>
  <c r="E176" i="9"/>
  <c r="E177" i="9"/>
  <c r="E76" i="1" s="1"/>
  <c r="E178" i="9"/>
  <c r="E179" i="9"/>
  <c r="E175" i="9"/>
  <c r="E172" i="9"/>
  <c r="E68" i="1" s="1"/>
  <c r="E171" i="9"/>
  <c r="E67" i="1" s="1"/>
  <c r="E168" i="9"/>
  <c r="D204" i="9"/>
  <c r="D203" i="9"/>
  <c r="D202" i="9"/>
  <c r="D201" i="9"/>
  <c r="D200" i="9"/>
  <c r="D199" i="9"/>
  <c r="D198" i="9"/>
  <c r="F196" i="9"/>
  <c r="F192" i="9" s="1"/>
  <c r="E196" i="9"/>
  <c r="D195" i="9"/>
  <c r="D194" i="9"/>
  <c r="D191" i="9"/>
  <c r="D189" i="9"/>
  <c r="F188" i="9"/>
  <c r="F184" i="9"/>
  <c r="F181" i="9"/>
  <c r="F173" i="9"/>
  <c r="F166" i="9"/>
  <c r="D162" i="9"/>
  <c r="D161" i="9"/>
  <c r="D160" i="9"/>
  <c r="D159" i="9"/>
  <c r="D158" i="9"/>
  <c r="D157" i="9"/>
  <c r="D156" i="9"/>
  <c r="F154" i="9"/>
  <c r="F150" i="9" s="1"/>
  <c r="E154" i="9"/>
  <c r="D153" i="9"/>
  <c r="D152" i="9"/>
  <c r="D149" i="9"/>
  <c r="D148" i="9"/>
  <c r="D147" i="9"/>
  <c r="F146" i="9"/>
  <c r="E146" i="9"/>
  <c r="D145" i="9"/>
  <c r="D144" i="9"/>
  <c r="D143" i="9"/>
  <c r="F142" i="9"/>
  <c r="E142" i="9"/>
  <c r="D141" i="9"/>
  <c r="D140" i="9"/>
  <c r="F139" i="9"/>
  <c r="E139" i="9"/>
  <c r="D138" i="9"/>
  <c r="D137" i="9"/>
  <c r="D136" i="9"/>
  <c r="D135" i="9"/>
  <c r="D134" i="9"/>
  <c r="D133" i="9"/>
  <c r="F131" i="9"/>
  <c r="E131" i="9"/>
  <c r="D130" i="9"/>
  <c r="D129" i="9"/>
  <c r="D126" i="9"/>
  <c r="F124" i="9"/>
  <c r="E124" i="9"/>
  <c r="D118" i="9"/>
  <c r="D177" i="9" l="1"/>
  <c r="D146" i="9"/>
  <c r="F127" i="9"/>
  <c r="F122" i="9" s="1"/>
  <c r="F119" i="9" s="1"/>
  <c r="D142" i="9"/>
  <c r="D180" i="9"/>
  <c r="E79" i="1"/>
  <c r="D182" i="9"/>
  <c r="D181" i="9" s="1"/>
  <c r="E81" i="1"/>
  <c r="E188" i="9"/>
  <c r="E90" i="1"/>
  <c r="D190" i="9"/>
  <c r="E166" i="9"/>
  <c r="D166" i="9" s="1"/>
  <c r="E64" i="1"/>
  <c r="D172" i="9"/>
  <c r="D176" i="9"/>
  <c r="E75" i="1"/>
  <c r="D187" i="9"/>
  <c r="E86" i="1"/>
  <c r="D186" i="9"/>
  <c r="E85" i="1"/>
  <c r="E181" i="9"/>
  <c r="E82" i="1"/>
  <c r="D179" i="9"/>
  <c r="E78" i="1"/>
  <c r="D178" i="9"/>
  <c r="E77" i="1"/>
  <c r="D175" i="9"/>
  <c r="E74" i="1"/>
  <c r="D171" i="9"/>
  <c r="D154" i="9"/>
  <c r="D124" i="9"/>
  <c r="D168" i="9"/>
  <c r="E127" i="9"/>
  <c r="D127" i="9" s="1"/>
  <c r="E150" i="9"/>
  <c r="D150" i="9" s="1"/>
  <c r="D196" i="9"/>
  <c r="D188" i="9"/>
  <c r="D139" i="9"/>
  <c r="E173" i="9"/>
  <c r="D173" i="9" s="1"/>
  <c r="E184" i="9"/>
  <c r="D184" i="9" s="1"/>
  <c r="D185" i="9"/>
  <c r="F169" i="9"/>
  <c r="F164" i="9" s="1"/>
  <c r="D131" i="9"/>
  <c r="E192" i="9"/>
  <c r="D192" i="9" s="1"/>
  <c r="E122" i="9" l="1"/>
  <c r="E169" i="9"/>
  <c r="E164" i="9" s="1"/>
  <c r="E119" i="9" s="1"/>
  <c r="D119" i="9" s="1"/>
  <c r="I119" i="9" s="1"/>
  <c r="D122" i="9"/>
  <c r="D169" i="9" l="1"/>
  <c r="D164" i="9"/>
  <c r="D106" i="1" l="1"/>
  <c r="D105" i="1"/>
  <c r="D103" i="1"/>
  <c r="D102" i="1"/>
  <c r="D101" i="1"/>
  <c r="D100" i="1"/>
  <c r="D99" i="1"/>
  <c r="D98" i="1"/>
  <c r="F96" i="1"/>
  <c r="F92" i="1" s="1"/>
  <c r="E96" i="1"/>
  <c r="D95" i="1"/>
  <c r="D94" i="1"/>
  <c r="D91" i="1"/>
  <c r="D90" i="1"/>
  <c r="D89" i="1"/>
  <c r="F88" i="1"/>
  <c r="E88" i="1"/>
  <c r="D86" i="1"/>
  <c r="D85" i="1"/>
  <c r="D84" i="1"/>
  <c r="F83" i="1"/>
  <c r="E83" i="1"/>
  <c r="D82" i="1"/>
  <c r="D81" i="1"/>
  <c r="F80" i="1"/>
  <c r="E80" i="1"/>
  <c r="D79" i="1"/>
  <c r="D78" i="1"/>
  <c r="D77" i="1"/>
  <c r="D76" i="1"/>
  <c r="D75" i="1"/>
  <c r="D74" i="1"/>
  <c r="F69" i="1"/>
  <c r="F65" i="1" s="1"/>
  <c r="E69" i="1"/>
  <c r="D68" i="1"/>
  <c r="D67" i="1"/>
  <c r="D64" i="1"/>
  <c r="F62" i="1"/>
  <c r="E62" i="1"/>
  <c r="D69" i="1" l="1"/>
  <c r="D88" i="1"/>
  <c r="D96" i="1"/>
  <c r="D80" i="1"/>
  <c r="E65" i="1"/>
  <c r="D65" i="1" s="1"/>
  <c r="F60" i="1"/>
  <c r="D83" i="1"/>
  <c r="D62" i="1"/>
  <c r="E92" i="1"/>
  <c r="D92" i="1" s="1"/>
  <c r="F41" i="1"/>
  <c r="E41" i="1"/>
  <c r="F36" i="1"/>
  <c r="E36" i="1"/>
  <c r="F15" i="1"/>
  <c r="E15" i="1"/>
  <c r="D58" i="1"/>
  <c r="D56" i="1"/>
  <c r="D55" i="1"/>
  <c r="D54" i="1"/>
  <c r="D53" i="1"/>
  <c r="D52" i="1"/>
  <c r="D51" i="1"/>
  <c r="F49" i="1"/>
  <c r="F45" i="1" s="1"/>
  <c r="E49" i="1"/>
  <c r="E45" i="1" s="1"/>
  <c r="D48" i="1"/>
  <c r="D47" i="1"/>
  <c r="D42" i="1"/>
  <c r="D39" i="1"/>
  <c r="D38" i="1"/>
  <c r="D37" i="1"/>
  <c r="D35" i="1"/>
  <c r="D34" i="1"/>
  <c r="F33" i="1"/>
  <c r="E33" i="1"/>
  <c r="D32" i="1"/>
  <c r="D31" i="1"/>
  <c r="D30" i="1"/>
  <c r="D29" i="1"/>
  <c r="D28" i="1"/>
  <c r="D27" i="1"/>
  <c r="F22" i="1"/>
  <c r="E22" i="1"/>
  <c r="D20" i="1"/>
  <c r="E60" i="1" l="1"/>
  <c r="D15" i="1"/>
  <c r="D21" i="1"/>
  <c r="D49" i="1"/>
  <c r="D45" i="1"/>
  <c r="D22" i="1"/>
  <c r="D36" i="1"/>
  <c r="E18" i="1"/>
  <c r="E13" i="1" s="1"/>
  <c r="D33" i="1"/>
  <c r="D44" i="1"/>
  <c r="F18" i="1"/>
  <c r="F13" i="1" s="1"/>
  <c r="F10" i="1" s="1"/>
  <c r="D43" i="1"/>
  <c r="D60" i="1" l="1"/>
  <c r="E10" i="1"/>
  <c r="D41" i="1"/>
  <c r="D18" i="1"/>
  <c r="D13" i="1" l="1"/>
  <c r="G110" i="6" l="1"/>
  <c r="F29" i="27" s="1"/>
  <c r="D110" i="6"/>
  <c r="F31" i="26" s="1"/>
  <c r="G109" i="6"/>
  <c r="F28" i="27" s="1"/>
  <c r="D109" i="6"/>
  <c r="F30" i="26" s="1"/>
  <c r="G108" i="6"/>
  <c r="F27" i="27" s="1"/>
  <c r="D108" i="6"/>
  <c r="F29" i="26" s="1"/>
  <c r="I106" i="6"/>
  <c r="G106" i="6" s="1"/>
  <c r="F106" i="6"/>
  <c r="D106" i="6" s="1"/>
  <c r="G105" i="6"/>
  <c r="F371" i="27" s="1"/>
  <c r="D105" i="6"/>
  <c r="F354" i="26" s="1"/>
  <c r="G103" i="6"/>
  <c r="F369" i="27" s="1"/>
  <c r="D103" i="6"/>
  <c r="F352" i="26" s="1"/>
  <c r="G102" i="6"/>
  <c r="F367" i="27" s="1"/>
  <c r="D102" i="6"/>
  <c r="F350" i="26" s="1"/>
  <c r="G101" i="6"/>
  <c r="F365" i="27" s="1"/>
  <c r="D101" i="6"/>
  <c r="F348" i="26" s="1"/>
  <c r="G100" i="6"/>
  <c r="F363" i="27" s="1"/>
  <c r="D100" i="6"/>
  <c r="F346" i="26" s="1"/>
  <c r="G99" i="6"/>
  <c r="D99" i="6"/>
  <c r="G98" i="6"/>
  <c r="D98" i="6"/>
  <c r="I96" i="6"/>
  <c r="I92" i="6" s="1"/>
  <c r="G92" i="6" s="1"/>
  <c r="F96" i="6"/>
  <c r="F92" i="6" s="1"/>
  <c r="D92" i="6" s="1"/>
  <c r="G95" i="6"/>
  <c r="D95" i="6"/>
  <c r="G94" i="6"/>
  <c r="F345" i="27" s="1"/>
  <c r="D94" i="6"/>
  <c r="F329" i="26" s="1"/>
  <c r="G91" i="6"/>
  <c r="D91" i="6"/>
  <c r="G88" i="6"/>
  <c r="D88" i="6"/>
  <c r="I87" i="6"/>
  <c r="G87" i="6" s="1"/>
  <c r="F87" i="6"/>
  <c r="D87" i="6" s="1"/>
  <c r="G86" i="6"/>
  <c r="D86" i="6"/>
  <c r="G84" i="6"/>
  <c r="D84" i="6"/>
  <c r="G83" i="6"/>
  <c r="D83" i="6"/>
  <c r="G82" i="6"/>
  <c r="D82" i="6"/>
  <c r="G81" i="6"/>
  <c r="D81" i="6"/>
  <c r="I80" i="6"/>
  <c r="G80" i="6" s="1"/>
  <c r="F80" i="6"/>
  <c r="D80" i="6" s="1"/>
  <c r="G79" i="6"/>
  <c r="D79" i="6"/>
  <c r="G78" i="6"/>
  <c r="D78" i="6"/>
  <c r="G77" i="6"/>
  <c r="D77" i="6"/>
  <c r="G76" i="6"/>
  <c r="D76" i="6"/>
  <c r="G75" i="6"/>
  <c r="F216" i="27" s="1"/>
  <c r="D75" i="6"/>
  <c r="F212" i="26" s="1"/>
  <c r="G74" i="6"/>
  <c r="F209" i="27" s="1"/>
  <c r="D74" i="6"/>
  <c r="F205" i="26" s="1"/>
  <c r="I73" i="6"/>
  <c r="G73" i="6" s="1"/>
  <c r="F73" i="6"/>
  <c r="D73" i="6" s="1"/>
  <c r="G72" i="6"/>
  <c r="D72" i="6"/>
  <c r="G70" i="6"/>
  <c r="D70" i="6"/>
  <c r="G69" i="6"/>
  <c r="D69" i="6"/>
  <c r="G68" i="6"/>
  <c r="F202" i="27" s="1"/>
  <c r="D68" i="6"/>
  <c r="F198" i="26" s="1"/>
  <c r="I67" i="6"/>
  <c r="I65" i="6" s="1"/>
  <c r="G65" i="6" s="1"/>
  <c r="F67" i="6"/>
  <c r="D67" i="6" s="1"/>
  <c r="G66" i="6"/>
  <c r="D66" i="6"/>
  <c r="G63" i="6"/>
  <c r="E327" i="27" s="1"/>
  <c r="D63" i="6"/>
  <c r="E311" i="26" s="1"/>
  <c r="G62" i="6"/>
  <c r="F316" i="27" s="1"/>
  <c r="D62" i="6"/>
  <c r="F303" i="26" s="1"/>
  <c r="G61" i="6"/>
  <c r="D61" i="6"/>
  <c r="G60" i="6"/>
  <c r="D60" i="6"/>
  <c r="G59" i="6"/>
  <c r="D59" i="6"/>
  <c r="G58" i="6"/>
  <c r="F192" i="27" s="1"/>
  <c r="D58" i="6"/>
  <c r="F190" i="26" s="1"/>
  <c r="I57" i="6"/>
  <c r="G57" i="6" s="1"/>
  <c r="F57" i="6"/>
  <c r="D57" i="6" s="1"/>
  <c r="G56" i="6"/>
  <c r="F279" i="27" s="1"/>
  <c r="D56" i="6"/>
  <c r="F270" i="26" s="1"/>
  <c r="G55" i="6"/>
  <c r="D55" i="6"/>
  <c r="I54" i="6"/>
  <c r="F54" i="6"/>
  <c r="G53" i="6"/>
  <c r="D53" i="6"/>
  <c r="G52" i="6"/>
  <c r="D52" i="6"/>
  <c r="G51" i="6"/>
  <c r="D51" i="6"/>
  <c r="G50" i="6"/>
  <c r="D50" i="6"/>
  <c r="G49" i="6"/>
  <c r="D49" i="6"/>
  <c r="G48" i="6"/>
  <c r="D48" i="6"/>
  <c r="I43" i="6"/>
  <c r="G43" i="6" s="1"/>
  <c r="F43" i="6"/>
  <c r="D43" i="6" s="1"/>
  <c r="G42" i="6"/>
  <c r="F239" i="27" s="1"/>
  <c r="D42" i="6"/>
  <c r="F237" i="26" s="1"/>
  <c r="G41" i="6"/>
  <c r="D41" i="6"/>
  <c r="I40" i="6"/>
  <c r="G40" i="6" s="1"/>
  <c r="F40" i="6"/>
  <c r="D40" i="6" s="1"/>
  <c r="G39" i="6"/>
  <c r="F231" i="27" s="1"/>
  <c r="D39" i="6"/>
  <c r="F226" i="26" s="1"/>
  <c r="G35" i="6"/>
  <c r="F182" i="27" s="1"/>
  <c r="D35" i="6"/>
  <c r="F177" i="26" s="1"/>
  <c r="I34" i="6"/>
  <c r="G34" i="6" s="1"/>
  <c r="F34" i="6"/>
  <c r="D34" i="6" s="1"/>
  <c r="G33" i="6"/>
  <c r="D33" i="6"/>
  <c r="G32" i="6"/>
  <c r="F172" i="27" s="1"/>
  <c r="D32" i="6"/>
  <c r="F167" i="26" s="1"/>
  <c r="G31" i="6"/>
  <c r="G153" i="27" s="1"/>
  <c r="D31" i="6"/>
  <c r="G148" i="26" s="1"/>
  <c r="G105" i="5"/>
  <c r="G104" i="5"/>
  <c r="G103" i="5"/>
  <c r="I101" i="5"/>
  <c r="G101" i="5" s="1"/>
  <c r="G100" i="5"/>
  <c r="G98" i="5"/>
  <c r="F246" i="25" s="1"/>
  <c r="G97" i="5"/>
  <c r="G96" i="5"/>
  <c r="G95" i="5"/>
  <c r="G94" i="5"/>
  <c r="G93" i="5"/>
  <c r="I91" i="5"/>
  <c r="I87" i="5" s="1"/>
  <c r="G90" i="5"/>
  <c r="G89" i="5"/>
  <c r="G86" i="5"/>
  <c r="G83" i="5"/>
  <c r="I82" i="5"/>
  <c r="G82" i="5" s="1"/>
  <c r="G81" i="5"/>
  <c r="G79" i="5"/>
  <c r="G78" i="5"/>
  <c r="G77" i="5"/>
  <c r="G76" i="5"/>
  <c r="I75" i="5"/>
  <c r="G75" i="5" s="1"/>
  <c r="G74" i="5"/>
  <c r="G73" i="5"/>
  <c r="G72" i="5"/>
  <c r="G71" i="5"/>
  <c r="G70" i="5"/>
  <c r="F158" i="25" s="1"/>
  <c r="G69" i="5"/>
  <c r="F152" i="25" s="1"/>
  <c r="I68" i="5"/>
  <c r="G68" i="5" s="1"/>
  <c r="G67" i="5"/>
  <c r="G65" i="5"/>
  <c r="G64" i="5"/>
  <c r="G63" i="5"/>
  <c r="F142" i="25" s="1"/>
  <c r="I62" i="5"/>
  <c r="G61" i="5"/>
  <c r="G58" i="5"/>
  <c r="E233" i="25" s="1"/>
  <c r="G57" i="5"/>
  <c r="F225" i="25" s="1"/>
  <c r="G56" i="5"/>
  <c r="G55" i="5"/>
  <c r="G54" i="5"/>
  <c r="G53" i="5"/>
  <c r="I52" i="5"/>
  <c r="G52" i="5" s="1"/>
  <c r="G51" i="5"/>
  <c r="F207" i="25" s="1"/>
  <c r="G50" i="5"/>
  <c r="I49" i="5"/>
  <c r="G48" i="5"/>
  <c r="G47" i="5"/>
  <c r="G46" i="5"/>
  <c r="G45" i="5"/>
  <c r="F194" i="25" s="1"/>
  <c r="G44" i="5"/>
  <c r="G43" i="5"/>
  <c r="F193" i="25" s="1"/>
  <c r="I38" i="5"/>
  <c r="G38" i="5" s="1"/>
  <c r="G37" i="5"/>
  <c r="G36" i="5"/>
  <c r="I35" i="5"/>
  <c r="G34" i="5"/>
  <c r="F177" i="25" s="1"/>
  <c r="G30" i="5"/>
  <c r="I29" i="5"/>
  <c r="G28" i="5"/>
  <c r="G27" i="5"/>
  <c r="F134" i="25" s="1"/>
  <c r="G26" i="5"/>
  <c r="D105" i="5"/>
  <c r="D104" i="5"/>
  <c r="D103" i="5"/>
  <c r="F101" i="5"/>
  <c r="D101" i="5" s="1"/>
  <c r="D100" i="5"/>
  <c r="D98" i="5"/>
  <c r="F249" i="24" s="1"/>
  <c r="D97" i="5"/>
  <c r="D96" i="5"/>
  <c r="D95" i="5"/>
  <c r="D94" i="5"/>
  <c r="D93" i="5"/>
  <c r="F91" i="5"/>
  <c r="D91" i="5" s="1"/>
  <c r="D90" i="5"/>
  <c r="D89" i="5"/>
  <c r="D86" i="5"/>
  <c r="D83" i="5"/>
  <c r="F82" i="5"/>
  <c r="D82" i="5" s="1"/>
  <c r="D81" i="5"/>
  <c r="D79" i="5"/>
  <c r="D78" i="5"/>
  <c r="D77" i="5"/>
  <c r="D76" i="5"/>
  <c r="F75" i="5"/>
  <c r="D75" i="5" s="1"/>
  <c r="D74" i="5"/>
  <c r="D73" i="5"/>
  <c r="D72" i="5"/>
  <c r="D71" i="5"/>
  <c r="D70" i="5"/>
  <c r="F169" i="24" s="1"/>
  <c r="D69" i="5"/>
  <c r="F163" i="24" s="1"/>
  <c r="F68" i="5"/>
  <c r="D67" i="5"/>
  <c r="D65" i="5"/>
  <c r="D64" i="5"/>
  <c r="D63" i="5"/>
  <c r="F143" i="24" s="1"/>
  <c r="F62" i="5"/>
  <c r="D62" i="5" s="1"/>
  <c r="D61" i="5"/>
  <c r="D58" i="5"/>
  <c r="E236" i="24" s="1"/>
  <c r="D57" i="5"/>
  <c r="F228" i="24" s="1"/>
  <c r="D56" i="5"/>
  <c r="D55" i="5"/>
  <c r="D54" i="5"/>
  <c r="D53" i="5"/>
  <c r="F52" i="5"/>
  <c r="D52" i="5" s="1"/>
  <c r="D51" i="5"/>
  <c r="F215" i="24" s="1"/>
  <c r="D50" i="5"/>
  <c r="F49" i="5"/>
  <c r="D48" i="5"/>
  <c r="D47" i="5"/>
  <c r="D46" i="5"/>
  <c r="D45" i="5"/>
  <c r="F198" i="24" s="1"/>
  <c r="D44" i="5"/>
  <c r="D43" i="5"/>
  <c r="F197" i="24" s="1"/>
  <c r="F38" i="5"/>
  <c r="D38" i="5" s="1"/>
  <c r="D37" i="5"/>
  <c r="D36" i="5"/>
  <c r="F35" i="5"/>
  <c r="D35" i="5" s="1"/>
  <c r="D34" i="5"/>
  <c r="F181" i="24" s="1"/>
  <c r="D30" i="5"/>
  <c r="F29" i="5"/>
  <c r="F24" i="5" s="1"/>
  <c r="D28" i="5"/>
  <c r="D27" i="5"/>
  <c r="F135" i="24" s="1"/>
  <c r="D26" i="5"/>
  <c r="D105" i="10"/>
  <c r="D104" i="10"/>
  <c r="D103" i="10"/>
  <c r="F101" i="10"/>
  <c r="E101" i="10"/>
  <c r="D100" i="10"/>
  <c r="D98" i="10"/>
  <c r="D97" i="10"/>
  <c r="D96" i="10"/>
  <c r="D95" i="10"/>
  <c r="D94" i="10"/>
  <c r="D93" i="10"/>
  <c r="F91" i="10"/>
  <c r="F87" i="10" s="1"/>
  <c r="E91" i="10"/>
  <c r="E87" i="10" s="1"/>
  <c r="D90" i="10"/>
  <c r="D89" i="10"/>
  <c r="D86" i="10"/>
  <c r="D83" i="10"/>
  <c r="F82" i="10"/>
  <c r="E82" i="10"/>
  <c r="D81" i="10"/>
  <c r="D79" i="10"/>
  <c r="D78" i="10"/>
  <c r="D77" i="10"/>
  <c r="D76" i="10"/>
  <c r="F75" i="10"/>
  <c r="E75" i="10"/>
  <c r="D74" i="10"/>
  <c r="D73" i="10"/>
  <c r="D72" i="10"/>
  <c r="D71" i="10"/>
  <c r="D70" i="10"/>
  <c r="D69" i="10"/>
  <c r="F68" i="10"/>
  <c r="E68" i="10"/>
  <c r="D67" i="10"/>
  <c r="D65" i="10"/>
  <c r="D63" i="10"/>
  <c r="D62" i="10"/>
  <c r="F61" i="10"/>
  <c r="F59" i="10" s="1"/>
  <c r="E61" i="10"/>
  <c r="D60" i="10"/>
  <c r="D57" i="10"/>
  <c r="D56" i="10"/>
  <c r="D55" i="10"/>
  <c r="D54" i="10"/>
  <c r="D53" i="10"/>
  <c r="D52" i="10"/>
  <c r="F51" i="10"/>
  <c r="E51" i="10"/>
  <c r="D50" i="10"/>
  <c r="D49" i="10"/>
  <c r="F48" i="10"/>
  <c r="E48" i="10"/>
  <c r="D47" i="10"/>
  <c r="D46" i="10"/>
  <c r="D45" i="10"/>
  <c r="D44" i="10"/>
  <c r="D43" i="10"/>
  <c r="D42" i="10"/>
  <c r="F37" i="10"/>
  <c r="E37" i="10"/>
  <c r="D36" i="10"/>
  <c r="D35" i="10"/>
  <c r="F34" i="10"/>
  <c r="E34" i="10"/>
  <c r="D33" i="10"/>
  <c r="D29" i="10"/>
  <c r="F28" i="10"/>
  <c r="F23" i="10" s="1"/>
  <c r="E28" i="10"/>
  <c r="E23" i="10" s="1"/>
  <c r="D27" i="10"/>
  <c r="D26" i="10"/>
  <c r="D25" i="10"/>
  <c r="D111" i="11"/>
  <c r="D110" i="11"/>
  <c r="D109" i="11"/>
  <c r="F107" i="11"/>
  <c r="E107" i="11"/>
  <c r="D106" i="11"/>
  <c r="F402" i="15" s="1"/>
  <c r="D104" i="11"/>
  <c r="F400" i="15" s="1"/>
  <c r="D103" i="11"/>
  <c r="F398" i="15" s="1"/>
  <c r="D102" i="11"/>
  <c r="F396" i="15" s="1"/>
  <c r="D101" i="11"/>
  <c r="F394" i="15" s="1"/>
  <c r="D100" i="11"/>
  <c r="D99" i="11"/>
  <c r="F97" i="11"/>
  <c r="F93" i="11" s="1"/>
  <c r="E97" i="11"/>
  <c r="E93" i="11" s="1"/>
  <c r="D96" i="11"/>
  <c r="D95" i="11"/>
  <c r="F379" i="15" s="1"/>
  <c r="D92" i="11"/>
  <c r="F242" i="15" s="1"/>
  <c r="D89" i="11"/>
  <c r="F88" i="11"/>
  <c r="E88" i="11"/>
  <c r="D87" i="11"/>
  <c r="D85" i="11"/>
  <c r="D84" i="11"/>
  <c r="D83" i="11"/>
  <c r="D82" i="11"/>
  <c r="F81" i="11"/>
  <c r="E81" i="11"/>
  <c r="D80" i="11"/>
  <c r="F238" i="15" s="1"/>
  <c r="D79" i="11"/>
  <c r="D78" i="11"/>
  <c r="F234" i="15" s="1"/>
  <c r="D77" i="11"/>
  <c r="D76" i="11"/>
  <c r="F211" i="15" s="1"/>
  <c r="D75" i="11"/>
  <c r="F204" i="15" s="1"/>
  <c r="F74" i="11"/>
  <c r="E74" i="11"/>
  <c r="D73" i="11"/>
  <c r="D71" i="11"/>
  <c r="D69" i="11"/>
  <c r="D68" i="11"/>
  <c r="F67" i="11"/>
  <c r="F65" i="11" s="1"/>
  <c r="E67" i="11"/>
  <c r="D66" i="11"/>
  <c r="D63" i="11"/>
  <c r="E359" i="15" s="1"/>
  <c r="D62" i="11"/>
  <c r="F345" i="15" s="1"/>
  <c r="D61" i="11"/>
  <c r="D60" i="11"/>
  <c r="D59" i="11"/>
  <c r="D58" i="11"/>
  <c r="F189" i="15" s="1"/>
  <c r="F57" i="11"/>
  <c r="E57" i="11"/>
  <c r="D56" i="11"/>
  <c r="F311" i="15" s="1"/>
  <c r="D55" i="11"/>
  <c r="F54" i="11"/>
  <c r="E54" i="11"/>
  <c r="D53" i="11"/>
  <c r="D52" i="11"/>
  <c r="D51" i="11"/>
  <c r="D50" i="11"/>
  <c r="F287" i="15" s="1"/>
  <c r="D49" i="11"/>
  <c r="D48" i="11"/>
  <c r="F286" i="15" s="1"/>
  <c r="F43" i="11"/>
  <c r="E43" i="11"/>
  <c r="D42" i="11"/>
  <c r="F265" i="15" s="1"/>
  <c r="D41" i="11"/>
  <c r="F40" i="11"/>
  <c r="E40" i="11"/>
  <c r="D39" i="11"/>
  <c r="F257" i="15" s="1"/>
  <c r="D35" i="11"/>
  <c r="F179" i="15" s="1"/>
  <c r="F34" i="11"/>
  <c r="F29" i="11" s="1"/>
  <c r="E34" i="11"/>
  <c r="D33" i="11"/>
  <c r="D32" i="11"/>
  <c r="F169" i="15" s="1"/>
  <c r="D31" i="11"/>
  <c r="E29" i="11"/>
  <c r="F30" i="27" l="1"/>
  <c r="F32" i="26"/>
  <c r="F195" i="25"/>
  <c r="F197" i="15"/>
  <c r="B161" i="15"/>
  <c r="E72" i="11"/>
  <c r="F199" i="24"/>
  <c r="F288" i="15"/>
  <c r="D81" i="11"/>
  <c r="D61" i="10"/>
  <c r="D101" i="10"/>
  <c r="D29" i="5"/>
  <c r="F87" i="5"/>
  <c r="D87" i="5" s="1"/>
  <c r="D164" i="27"/>
  <c r="D67" i="11"/>
  <c r="D107" i="11"/>
  <c r="D37" i="10"/>
  <c r="D51" i="10"/>
  <c r="D88" i="11"/>
  <c r="E66" i="10"/>
  <c r="D49" i="5"/>
  <c r="F66" i="5"/>
  <c r="D66" i="5" s="1"/>
  <c r="B164" i="27"/>
  <c r="B159" i="26"/>
  <c r="B126" i="25"/>
  <c r="G117" i="25"/>
  <c r="B127" i="24"/>
  <c r="D48" i="10"/>
  <c r="G150" i="15"/>
  <c r="I29" i="6"/>
  <c r="G29" i="6" s="1"/>
  <c r="D96" i="6"/>
  <c r="F65" i="6"/>
  <c r="D65" i="6" s="1"/>
  <c r="D54" i="6"/>
  <c r="F71" i="6"/>
  <c r="D71" i="6" s="1"/>
  <c r="F29" i="6"/>
  <c r="I37" i="6"/>
  <c r="G37" i="6" s="1"/>
  <c r="G96" i="6"/>
  <c r="F37" i="6"/>
  <c r="D37" i="6" s="1"/>
  <c r="G67" i="6"/>
  <c r="I71" i="6"/>
  <c r="G71" i="6" s="1"/>
  <c r="G54" i="6"/>
  <c r="D68" i="5"/>
  <c r="I66" i="5"/>
  <c r="G66" i="5" s="1"/>
  <c r="G49" i="5"/>
  <c r="F66" i="10"/>
  <c r="D91" i="10"/>
  <c r="D28" i="10"/>
  <c r="D34" i="10"/>
  <c r="D87" i="10"/>
  <c r="F31" i="10"/>
  <c r="D68" i="10"/>
  <c r="D75" i="10"/>
  <c r="D82" i="10"/>
  <c r="D34" i="11"/>
  <c r="D40" i="11"/>
  <c r="D57" i="11"/>
  <c r="E65" i="11"/>
  <c r="D65" i="11" s="1"/>
  <c r="F72" i="11"/>
  <c r="F37" i="11"/>
  <c r="D74" i="11"/>
  <c r="G35" i="5"/>
  <c r="G62" i="5"/>
  <c r="F32" i="5"/>
  <c r="D32" i="5" s="1"/>
  <c r="G29" i="5"/>
  <c r="F60" i="5"/>
  <c r="D60" i="5" s="1"/>
  <c r="I32" i="5"/>
  <c r="I60" i="5"/>
  <c r="G60" i="5" s="1"/>
  <c r="G91" i="5"/>
  <c r="D54" i="11"/>
  <c r="E37" i="11"/>
  <c r="G87" i="5"/>
  <c r="I24" i="5"/>
  <c r="D24" i="5"/>
  <c r="E31" i="10"/>
  <c r="E59" i="10"/>
  <c r="D59" i="10" s="1"/>
  <c r="D93" i="11"/>
  <c r="D43" i="11"/>
  <c r="D97" i="11"/>
  <c r="D29" i="11"/>
  <c r="F21" i="10" l="1"/>
  <c r="F19" i="10" s="1"/>
  <c r="D72" i="11"/>
  <c r="D66" i="10"/>
  <c r="D31" i="10"/>
  <c r="F164" i="27"/>
  <c r="D159" i="26"/>
  <c r="F159" i="26" s="1"/>
  <c r="F22" i="5"/>
  <c r="F20" i="5" s="1"/>
  <c r="D161" i="15"/>
  <c r="F161" i="15" s="1"/>
  <c r="D126" i="25"/>
  <c r="F126" i="25" s="1"/>
  <c r="D127" i="24"/>
  <c r="F127" i="24" s="1"/>
  <c r="D37" i="11"/>
  <c r="F27" i="11"/>
  <c r="F25" i="11" s="1"/>
  <c r="F27" i="6"/>
  <c r="F25" i="6" s="1"/>
  <c r="D25" i="6" s="1"/>
  <c r="D29" i="6"/>
  <c r="I27" i="6"/>
  <c r="I25" i="6" s="1"/>
  <c r="G25" i="6" s="1"/>
  <c r="E27" i="11"/>
  <c r="G24" i="5"/>
  <c r="I22" i="5"/>
  <c r="I20" i="5" s="1"/>
  <c r="G32" i="5"/>
  <c r="E21" i="10"/>
  <c r="D23" i="10"/>
  <c r="G27" i="6" l="1"/>
  <c r="D27" i="6"/>
  <c r="E25" i="11"/>
  <c r="D27" i="11"/>
  <c r="G22" i="5"/>
  <c r="G20" i="5"/>
  <c r="D22" i="5"/>
  <c r="D20" i="5"/>
  <c r="D21" i="10"/>
  <c r="E19" i="10"/>
  <c r="D19" i="10" l="1"/>
  <c r="D25" i="11"/>
  <c r="F26" i="9"/>
  <c r="F21" i="9" s="1"/>
  <c r="E26" i="9"/>
  <c r="E21" i="9" s="1"/>
  <c r="D27" i="9"/>
  <c r="D26" i="9" l="1"/>
  <c r="F49" i="9"/>
  <c r="E49" i="9"/>
  <c r="D52" i="9"/>
  <c r="D104" i="9" l="1"/>
  <c r="D103" i="9"/>
  <c r="D102" i="9"/>
  <c r="F100" i="9"/>
  <c r="E100" i="9"/>
  <c r="D99" i="9"/>
  <c r="D97" i="9"/>
  <c r="F281" i="28" s="1"/>
  <c r="D96" i="9"/>
  <c r="D95" i="9"/>
  <c r="D94" i="9"/>
  <c r="D93" i="9"/>
  <c r="D92" i="9"/>
  <c r="F90" i="9"/>
  <c r="E90" i="9"/>
  <c r="E86" i="9" s="1"/>
  <c r="D89" i="9"/>
  <c r="D88" i="9"/>
  <c r="D85" i="9"/>
  <c r="D82" i="9"/>
  <c r="F81" i="9"/>
  <c r="E81" i="9"/>
  <c r="D80" i="9"/>
  <c r="D78" i="9"/>
  <c r="D77" i="9"/>
  <c r="D76" i="9"/>
  <c r="D75" i="9"/>
  <c r="F74" i="9"/>
  <c r="E74" i="9"/>
  <c r="D70" i="9"/>
  <c r="D69" i="9"/>
  <c r="F182" i="28" s="1"/>
  <c r="D68" i="9"/>
  <c r="F176" i="28" s="1"/>
  <c r="F67" i="9"/>
  <c r="E67" i="9"/>
  <c r="D66" i="9"/>
  <c r="D62" i="9"/>
  <c r="D61" i="9"/>
  <c r="F60" i="9"/>
  <c r="F57" i="9" s="1"/>
  <c r="E57" i="9"/>
  <c r="D55" i="9"/>
  <c r="E260" i="28" s="1"/>
  <c r="D54" i="9"/>
  <c r="F252" i="28" s="1"/>
  <c r="D53" i="9"/>
  <c r="D51" i="9"/>
  <c r="D50" i="9"/>
  <c r="D48" i="9"/>
  <c r="F238" i="28" s="1"/>
  <c r="D47" i="9"/>
  <c r="F46" i="9"/>
  <c r="E46" i="9"/>
  <c r="D45" i="9"/>
  <c r="D44" i="9"/>
  <c r="D43" i="9"/>
  <c r="D42" i="9"/>
  <c r="F222" i="28" s="1"/>
  <c r="D41" i="9"/>
  <c r="D40" i="9"/>
  <c r="F221" i="28" s="1"/>
  <c r="F35" i="9"/>
  <c r="E35" i="9"/>
  <c r="D34" i="9"/>
  <c r="D33" i="9"/>
  <c r="F32" i="9"/>
  <c r="E32" i="9"/>
  <c r="D31" i="9"/>
  <c r="F195" i="28" s="1"/>
  <c r="D25" i="9"/>
  <c r="D24" i="9"/>
  <c r="D23" i="9"/>
  <c r="D16" i="9"/>
  <c r="D15" i="9"/>
  <c r="F13" i="9"/>
  <c r="E13" i="9"/>
  <c r="E10" i="9" s="1"/>
  <c r="D12" i="9"/>
  <c r="D8" i="9"/>
  <c r="D24" i="11"/>
  <c r="D23" i="11"/>
  <c r="E21" i="11"/>
  <c r="D20" i="11"/>
  <c r="D19" i="11"/>
  <c r="F17" i="11"/>
  <c r="E17" i="11"/>
  <c r="D16" i="11"/>
  <c r="D15" i="11"/>
  <c r="D14" i="11"/>
  <c r="D13" i="11"/>
  <c r="F20" i="15" s="1"/>
  <c r="D12" i="11"/>
  <c r="D8" i="11"/>
  <c r="F223" i="28" l="1"/>
  <c r="F84" i="14"/>
  <c r="E10" i="11"/>
  <c r="B127" i="28"/>
  <c r="F65" i="9"/>
  <c r="E65" i="9"/>
  <c r="D17" i="11"/>
  <c r="D21" i="9"/>
  <c r="D100" i="9"/>
  <c r="D32" i="9"/>
  <c r="F10" i="9"/>
  <c r="D10" i="9" s="1"/>
  <c r="D46" i="9"/>
  <c r="D74" i="9"/>
  <c r="D72" i="9"/>
  <c r="D90" i="9"/>
  <c r="E29" i="9"/>
  <c r="D49" i="9"/>
  <c r="F29" i="9"/>
  <c r="D57" i="9"/>
  <c r="D64" i="9"/>
  <c r="D73" i="9"/>
  <c r="D13" i="9"/>
  <c r="D35" i="9"/>
  <c r="D58" i="9"/>
  <c r="F157" i="28" s="1"/>
  <c r="D71" i="9"/>
  <c r="D81" i="9"/>
  <c r="D67" i="9"/>
  <c r="F86" i="9"/>
  <c r="D86" i="9" s="1"/>
  <c r="F21" i="11"/>
  <c r="D18" i="10"/>
  <c r="D17" i="10"/>
  <c r="D16" i="10"/>
  <c r="D15" i="10"/>
  <c r="D14" i="10"/>
  <c r="D13" i="10"/>
  <c r="F12" i="10"/>
  <c r="F10" i="10" s="1"/>
  <c r="F9" i="10" s="1"/>
  <c r="E12" i="10"/>
  <c r="D8" i="10"/>
  <c r="F9" i="29" l="1"/>
  <c r="E10" i="10"/>
  <c r="E9" i="10" s="1"/>
  <c r="E9" i="11"/>
  <c r="F127" i="28"/>
  <c r="E19" i="9"/>
  <c r="E17" i="9" s="1"/>
  <c r="E9" i="9" s="1"/>
  <c r="F19" i="9"/>
  <c r="D65" i="9"/>
  <c r="D29" i="9"/>
  <c r="D21" i="11"/>
  <c r="F10" i="11"/>
  <c r="F9" i="11" s="1"/>
  <c r="D12" i="10"/>
  <c r="D10" i="11" l="1"/>
  <c r="D10" i="10"/>
  <c r="J119" i="9"/>
  <c r="D19" i="9"/>
  <c r="F17" i="9"/>
  <c r="F9" i="9" s="1"/>
  <c r="D9" i="10" l="1"/>
  <c r="D17" i="9"/>
  <c r="D9" i="9"/>
  <c r="D9" i="11"/>
  <c r="G24" i="6" l="1"/>
  <c r="G23" i="6"/>
  <c r="I21" i="6"/>
  <c r="G20" i="6"/>
  <c r="G19" i="6"/>
  <c r="I17" i="6"/>
  <c r="G16" i="6"/>
  <c r="G15" i="6"/>
  <c r="G14" i="6"/>
  <c r="G13" i="6"/>
  <c r="F19" i="27" s="1"/>
  <c r="G12" i="6"/>
  <c r="D24" i="6"/>
  <c r="F21" i="6"/>
  <c r="D23" i="6"/>
  <c r="F17" i="6"/>
  <c r="D19" i="6"/>
  <c r="D16" i="6"/>
  <c r="D15" i="6"/>
  <c r="D14" i="6"/>
  <c r="D13" i="6"/>
  <c r="F21" i="26" s="1"/>
  <c r="D12" i="6"/>
  <c r="D8" i="6"/>
  <c r="G19" i="5"/>
  <c r="G18" i="5"/>
  <c r="I16" i="5"/>
  <c r="G14" i="5"/>
  <c r="F10" i="25" s="1"/>
  <c r="G8" i="5"/>
  <c r="D19" i="5"/>
  <c r="D18" i="5"/>
  <c r="F16" i="5"/>
  <c r="D14" i="5"/>
  <c r="D12" i="5" s="1"/>
  <c r="D8" i="5"/>
  <c r="D21" i="6" l="1"/>
  <c r="G16" i="5"/>
  <c r="G17" i="6"/>
  <c r="F10" i="5"/>
  <c r="F9" i="5" s="1"/>
  <c r="I10" i="5"/>
  <c r="I9" i="5" s="1"/>
  <c r="G21" i="6"/>
  <c r="D16" i="5"/>
  <c r="G8" i="6"/>
  <c r="I10" i="6"/>
  <c r="I9" i="6" s="1"/>
  <c r="D17" i="6"/>
  <c r="F10" i="6"/>
  <c r="F9" i="6" s="1"/>
  <c r="D20" i="6"/>
  <c r="G10" i="6" l="1"/>
  <c r="D10" i="6"/>
  <c r="G10" i="5"/>
  <c r="D10" i="5"/>
  <c r="D9" i="1"/>
  <c r="G9" i="6" l="1"/>
  <c r="G9" i="5"/>
  <c r="D9" i="6" l="1"/>
  <c r="D9" i="5"/>
  <c r="D10" i="1" l="1"/>
</calcChain>
</file>

<file path=xl/sharedStrings.xml><?xml version="1.0" encoding="utf-8"?>
<sst xmlns="http://schemas.openxmlformats.org/spreadsheetml/2006/main" count="4573" uniqueCount="496">
  <si>
    <t>Наименование показателя</t>
  </si>
  <si>
    <t>Всего</t>
  </si>
  <si>
    <t>в том числе</t>
  </si>
  <si>
    <t>по лицевым счетам, открытым в органах, осуществляющих ведение лицевых счетов учреждений</t>
  </si>
  <si>
    <t>операции по счетам, открытым в кредитных организациях</t>
  </si>
  <si>
    <t>X</t>
  </si>
  <si>
    <t>в том числе:</t>
  </si>
  <si>
    <t>Выплаты, всего:</t>
  </si>
  <si>
    <t>Расходы, всего</t>
  </si>
  <si>
    <t>из них:</t>
  </si>
  <si>
    <t>Оплата труда и начисления на выплаты по оплате труда, всего</t>
  </si>
  <si>
    <t>Заработная плата</t>
  </si>
  <si>
    <t>Прочие несоциальные выплаты персоналу в денежной форме</t>
  </si>
  <si>
    <t>Начисления на выплаты по оплате труда</t>
  </si>
  <si>
    <t>Оплата работ, услуг, всего</t>
  </si>
  <si>
    <t>Услуги связи</t>
  </si>
  <si>
    <t>Транспортные услуги, всего</t>
  </si>
  <si>
    <t>Коммунальные услуги</t>
  </si>
  <si>
    <t>Оплата отопления и технологических нужд</t>
  </si>
  <si>
    <t>Оплата потребления газа</t>
  </si>
  <si>
    <t>Оплата потребления электрической энергии</t>
  </si>
  <si>
    <t>Оплата водоснабжения и водоотведения помещений</t>
  </si>
  <si>
    <t>Оплата твердых коммунальных отходов</t>
  </si>
  <si>
    <t>Арендная плата за пользование имуществом (за исключением земельных участков и других обособленных природных объектов)</t>
  </si>
  <si>
    <t>Работы, услуги по содержанию имущества</t>
  </si>
  <si>
    <t>Страхование</t>
  </si>
  <si>
    <t>Социальное обеспечение</t>
  </si>
  <si>
    <t>Пенсии, пособия, выплачиваемые работодателями, нанимателями бывшим работникам</t>
  </si>
  <si>
    <t>Социальные пособия и компенсации персоналу в денежной форме</t>
  </si>
  <si>
    <t>Социальные компенсации персоналу в натуральной форме</t>
  </si>
  <si>
    <t>Прочие расходы</t>
  </si>
  <si>
    <t>Налоги, пошлины и сборы</t>
  </si>
  <si>
    <t>Штрафы за нарушение законодательства о налогах и сборах, законодательства о страховых взносах</t>
  </si>
  <si>
    <t>Штрафы за нарушение законодательства о закупках и нарушений условий контрактов (договоров)</t>
  </si>
  <si>
    <t>Иные выплаты текущего характера физическим лицам</t>
  </si>
  <si>
    <t>Иные выплаты текущего характера организациям</t>
  </si>
  <si>
    <t>Увеличение стоимости основных средств</t>
  </si>
  <si>
    <t>Увеличение стоимости лекарственных препаратов и материалов, применяемых в медицинских целях</t>
  </si>
  <si>
    <t>Увеличение стоимости продуктов питания</t>
  </si>
  <si>
    <t>Увеличение стоимости горюче-смазочных материалов</t>
  </si>
  <si>
    <t>Увеличение стоимости строительных материалов</t>
  </si>
  <si>
    <t>Увеличение стоимости мягкого инвентаря</t>
  </si>
  <si>
    <t>Увеличение стоимости прочих оборотных запасов (материалов)</t>
  </si>
  <si>
    <t>Увеличение стоимости прочих материальных запасов однократного применения</t>
  </si>
  <si>
    <t>«___» __________ 20___ г.</t>
  </si>
  <si>
    <t>Код бюджетной классификации Российской Федерации</t>
  </si>
  <si>
    <t>Аналитический код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</si>
  <si>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</si>
  <si>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</si>
  <si>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</si>
  <si>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Прочие поступления, всего</t>
  </si>
  <si>
    <t>(рублей)</t>
  </si>
  <si>
    <t xml:space="preserve">Руководитель учреждения            </t>
  </si>
  <si>
    <t xml:space="preserve">(подпись)  </t>
  </si>
  <si>
    <t>(расшифровка подписи)</t>
  </si>
  <si>
    <t xml:space="preserve">Главный бухгалтер учреждения       </t>
  </si>
  <si>
    <t xml:space="preserve">Исполнитель                          </t>
  </si>
  <si>
    <t xml:space="preserve">тел. </t>
  </si>
  <si>
    <t>Прочие работы, услуги</t>
  </si>
  <si>
    <t>Поступление нефинансовых активов, всего</t>
  </si>
  <si>
    <t>Увеличение стоимости материальных запасов, всего</t>
  </si>
  <si>
    <t>Доходы от операций с активами, всего</t>
  </si>
  <si>
    <t>Прочие доходы</t>
  </si>
  <si>
    <t>Безвомездные денежные поступления</t>
  </si>
  <si>
    <t>Доходы от штрафов, пеней, иных сумм принудительного изъятия</t>
  </si>
  <si>
    <t>Доходы от оказания услуг, работ, компенсации затрат учреждений</t>
  </si>
  <si>
    <t>Доходы от собственности</t>
  </si>
  <si>
    <t>Выплаты, уменьшающие доход, всего</t>
  </si>
  <si>
    <t>Увеличение стоимости нематериальных активов</t>
  </si>
  <si>
    <t>Субсидии на финансовое обеспечение выполнения государственного задания</t>
  </si>
  <si>
    <t>Увеличение остатков денежных средств за счет возврата дебиторской задолженности прошлых лет</t>
  </si>
  <si>
    <t>От выбытия основных средств</t>
  </si>
  <si>
    <t>От выбытия материальных запасов</t>
  </si>
  <si>
    <t>20___ г.</t>
  </si>
  <si>
    <t>(за счет целевых субсидий) на плановый период 20___ и 20___ годов</t>
  </si>
  <si>
    <t>Должность по штатному расписанию, единиц</t>
  </si>
  <si>
    <t>Численность, единиц</t>
  </si>
  <si>
    <t>Среднемесячный размер оплаты труда на одного работника, руб.</t>
  </si>
  <si>
    <t>Фонд оплаты труда в год              (гр.2 х гр.3 х12)</t>
  </si>
  <si>
    <t>всего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</si>
  <si>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</si>
  <si>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</si>
  <si>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</si>
  <si>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Штатная численность, единиц</t>
  </si>
  <si>
    <t>Начисления на выплаты по оплате труда, руб. (213)</t>
  </si>
  <si>
    <t>Наименование</t>
  </si>
  <si>
    <t>Количество работников, чел.</t>
  </si>
  <si>
    <t>Средний размер выплаты на одного работника в день, руб.</t>
  </si>
  <si>
    <t>Количество дней</t>
  </si>
  <si>
    <t>Сумма, руб. (гр.2 х гр.3 х гр.4)</t>
  </si>
  <si>
    <t>Суточные</t>
  </si>
  <si>
    <t>Количество услуг перевозки, шт.</t>
  </si>
  <si>
    <t>Цена услуги перевозки, руб.</t>
  </si>
  <si>
    <t>Сумма, руб. (гр.2 х гр.3)</t>
  </si>
  <si>
    <t>Служебные командировки</t>
  </si>
  <si>
    <t>Количество участников, чел.</t>
  </si>
  <si>
    <t>Средний размер выплаты на одного участника в день, руб.</t>
  </si>
  <si>
    <t>Суточные, денежные средства спортсменам на мероприятиях</t>
  </si>
  <si>
    <t>Численность работников, получающий пособие</t>
  </si>
  <si>
    <t>Средний размер выплат в год на одного работника</t>
  </si>
  <si>
    <t xml:space="preserve">Сумма, руб. (гр.2 х гр.3) </t>
  </si>
  <si>
    <t>Пособие за первые три дня временной нетрудоспособности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</si>
  <si>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</si>
  <si>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</si>
  <si>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</t>
  </si>
  <si>
    <t>Размер одной выплаты, руб.</t>
  </si>
  <si>
    <t xml:space="preserve">Количество выплат в год </t>
  </si>
  <si>
    <t>Общая сумма выплат, руб. (гр.2 х гр.3)</t>
  </si>
  <si>
    <t>Налоговая база, руб.</t>
  </si>
  <si>
    <t>Ставка налога, %</t>
  </si>
  <si>
    <t>Сумма исчисленного налога, подлежащего уплате, руб.                          (гр. 2 х гр.3/100)</t>
  </si>
  <si>
    <t>Уплата налога на имущество</t>
  </si>
  <si>
    <t>Уплата налога на землю</t>
  </si>
  <si>
    <t>Код вида расходов 852</t>
  </si>
  <si>
    <t xml:space="preserve">Сумма, руб.                          </t>
  </si>
  <si>
    <t>Транспортный налог</t>
  </si>
  <si>
    <t>Х</t>
  </si>
  <si>
    <t>…</t>
  </si>
  <si>
    <t>Код вида расходов 853</t>
  </si>
  <si>
    <t>….</t>
  </si>
  <si>
    <t>Количество номеров</t>
  </si>
  <si>
    <t>Средняя стоимость за единицу в месяц, руб.</t>
  </si>
  <si>
    <t>Телефонная связь</t>
  </si>
  <si>
    <t>Почтовая связь</t>
  </si>
  <si>
    <t>Количество услуг перевозки</t>
  </si>
  <si>
    <t>Размер потребления ресурсов</t>
  </si>
  <si>
    <t>Тариф (с учетом НДС), руб.</t>
  </si>
  <si>
    <t>Количество (кв.м.)</t>
  </si>
  <si>
    <t>Стоимость у учетом НДС, руб.</t>
  </si>
  <si>
    <t>Аренда помещений</t>
  </si>
  <si>
    <t>Количество работ (услуг)</t>
  </si>
  <si>
    <t>Стоимость работ (услуг), руб.</t>
  </si>
  <si>
    <t>Техническое обслуживание и ремонт оргтехники</t>
  </si>
  <si>
    <t>Вывоз ТБО</t>
  </si>
  <si>
    <t>Заправка картриджей</t>
  </si>
  <si>
    <t>Техническое обслуживание транспортных средств</t>
  </si>
  <si>
    <t>Количество договоров</t>
  </si>
  <si>
    <t>Стоимость услуги, руб.</t>
  </si>
  <si>
    <t>Сопровождение программного обеспечения</t>
  </si>
  <si>
    <t>Услуги охраны</t>
  </si>
  <si>
    <t>Периодические издания</t>
  </si>
  <si>
    <t>Количество</t>
  </si>
  <si>
    <t>Средняя стоимость, руб.</t>
  </si>
  <si>
    <t>Объекты основных средств</t>
  </si>
  <si>
    <t xml:space="preserve">Код вида расходов </t>
  </si>
  <si>
    <t>Итого</t>
  </si>
  <si>
    <t>Код вида расходов</t>
  </si>
  <si>
    <t>Стоимость 1 кв.м.</t>
  </si>
  <si>
    <t>Сумма, руб.(гр. 2 х гр. 3)</t>
  </si>
  <si>
    <t>Сумма, руб. (гр. 2 х гр. 3)</t>
  </si>
  <si>
    <t xml:space="preserve">Руководитель учреждения          </t>
  </si>
  <si>
    <t xml:space="preserve">Главный бухгалтер учреждения      </t>
  </si>
  <si>
    <t xml:space="preserve">Исполнитель                         </t>
  </si>
  <si>
    <t>тел.</t>
  </si>
  <si>
    <t>Плата за загрязнение окружающей среды</t>
  </si>
  <si>
    <t>…..</t>
  </si>
  <si>
    <t>Взносы по оплате медицинских осмотров</t>
  </si>
  <si>
    <t>Другие экономические санкции</t>
  </si>
  <si>
    <t>Молоко</t>
  </si>
  <si>
    <t>Численность работников, получающий продукт в натуральной форме</t>
  </si>
  <si>
    <t>Сумма, руб. (гр.2 х гр.3*кол-во месяцев получающих продукт)</t>
  </si>
  <si>
    <t>Услуги и работы в рамках проведения капиатального ремонта</t>
  </si>
  <si>
    <t>Услуги и работы в рамках проведения капитального ремонта</t>
  </si>
  <si>
    <t>Доходы от оказания услуг (выполнения работ)</t>
  </si>
  <si>
    <t>Сумма, руб.</t>
  </si>
  <si>
    <t>Плата (тариф) арендной платы за единицу площади (объект), руб</t>
  </si>
  <si>
    <t>Планируемый объем предоставления имущества в аренду (в натуральных показателях)</t>
  </si>
  <si>
    <t>1.1. Расчет доходов от собственности</t>
  </si>
  <si>
    <t>Недвижимое имущество</t>
  </si>
  <si>
    <t>Субсидии на финансове обеспечение выполнения государственного задания</t>
  </si>
  <si>
    <t xml:space="preserve">Сумма соглашения, руб. </t>
  </si>
  <si>
    <t>Планируемый объем оказания услуг (работ)</t>
  </si>
  <si>
    <t>Плата (тариф) за  единицу услуги (работы), руб.</t>
  </si>
  <si>
    <t>1.2. Расчет доходов от плановых поступлений от оказания услуг (выполнения работ) (в том числе в виде субсидии на финансове обеспечение выполнения государственного задания)</t>
  </si>
  <si>
    <t>Штрафы…</t>
  </si>
  <si>
    <t>1.3. Расчет доходов в виде штрафов, возмещения ущерба</t>
  </si>
  <si>
    <t>1.4. Расчет доходов от безвозмездных денежных поступлений</t>
  </si>
  <si>
    <t>1.6. Расчет доходов от операций с активами</t>
  </si>
  <si>
    <t>Реализация неиспользуемого имущества</t>
  </si>
  <si>
    <t>2.2. Обоснования (расчеты) выплат персоналу (строка 213)</t>
  </si>
  <si>
    <t>1. Обоснования (расчеты) доходов к плану финансово-хозяйственной деятельности (……………….) на 20___ год</t>
  </si>
  <si>
    <t>Плата (тариф) за  единицу, руб.</t>
  </si>
  <si>
    <t xml:space="preserve">Размер прогнозируемых поступлений, руб. </t>
  </si>
  <si>
    <t>Целевые субсидии</t>
  </si>
  <si>
    <t>Заработная плата, руб. (211,266)</t>
  </si>
  <si>
    <t>Сумма, руб. (гр.2 х гр.3х12)</t>
  </si>
  <si>
    <t>1.5. Расчет доходов в виде целевых субсидий</t>
  </si>
  <si>
    <t>2. Обоснования (расчеты) расходов к плану финансово-хозяйственной деятельности (………………...) на 20___ год</t>
  </si>
  <si>
    <t>2.1. Обоснования (расчеты) выплат персоналу (строка 211, 266)</t>
  </si>
  <si>
    <t>II. Поступления и выплаты</t>
  </si>
  <si>
    <t>III. Поступления и выплаты</t>
  </si>
  <si>
    <t>I. Сведения по выплатам на закупки товаров, работ, услуг</t>
  </si>
  <si>
    <t>I. Поступления и выплаты</t>
  </si>
  <si>
    <t>Налог на прибыль</t>
  </si>
  <si>
    <t>Налог на добавленную стоимость</t>
  </si>
  <si>
    <t>Прочие налоги, уменьшающие доход</t>
  </si>
  <si>
    <t>Сумма выплат по расходам на закупку товаров, работ и услуг</t>
  </si>
  <si>
    <t>в соответствии с Федеральным законом от 5 апреля 2013 г. № 44-ФЗ «О контрактной системе в сфере закупок товаров, услуг для обеспечения государственных и муниципальных нужд»</t>
  </si>
  <si>
    <t>в соответствии с Федеральным законом от 18 июля 2011 г. № 223-ФЗ «О закупках товаров, работ, услуг отдельными видами юридических лиц»</t>
  </si>
  <si>
    <t>На оплату контрактов заключенных до начала финансового года</t>
  </si>
  <si>
    <t>Прочие несоциальные выплаты персоналу в натуральной форме</t>
  </si>
  <si>
    <t>На оплату контрактов заключенных по году начало закупки</t>
  </si>
  <si>
    <t>2.3. Обоснования (расчеты) расходов на прочие несоциальные выплату персонала в денежной форме (строка 212)</t>
  </si>
  <si>
    <t>2.5. Обоснования (расчеты) выплат персоналу при использовании личного транспорта для служебных целей (строка 222)</t>
  </si>
  <si>
    <t>2.6. Обоснования (расчеты) выплат персоналу при направлении в служебные командировки (строка 226)</t>
  </si>
  <si>
    <t>2.7. Обоснования (расчеты) выплат персоналу при направлении учащихся организации на мероприятия, и иные платежи (строка 226)</t>
  </si>
  <si>
    <t>2.8. Обоснования (расчеты) выплат персоналу по уходу за ребенком и выплат по временной нетрудоспособности работников (строка 266,267)</t>
  </si>
  <si>
    <t>2.9. Обоснования (расчеты) расходов на социальные и иные выплаты населения (строка 264)</t>
  </si>
  <si>
    <t>2.11. Обоснования (расчеты) расходов на иные выплаты текущего характера физическим лицам (строка 296)</t>
  </si>
  <si>
    <t>340</t>
  </si>
  <si>
    <t>350</t>
  </si>
  <si>
    <t>360</t>
  </si>
  <si>
    <t>2.12. Обоснования (расчеты) расходов на уплату штрафов за нарушение законодательства и иные выплаты, экономические санкции (строка 292,293,295,296,297)</t>
  </si>
  <si>
    <t>2.13 Обоснования (расчеты) расходов по выплатам на закупку товаров, работ, услуг</t>
  </si>
  <si>
    <t>2.13.1. Обоснования (расчеты) расходов на прочие несоциальные выплаты персоналу в натуральной форме (строка 214)</t>
  </si>
  <si>
    <t>2.13.2. Обоснования (расчеты) расходов на оплату услуг связи (строка 221)</t>
  </si>
  <si>
    <t>2.13.3. Обоснования (расчеты) расходов на оплату транспортных услуг (строка 222)</t>
  </si>
  <si>
    <t>2.13.4. Обоснования (расчеты) расходов на оплату коммунальных услуг (строка 223)</t>
  </si>
  <si>
    <t>2.13.5. Обоснования (расчеты) расходов на оплату аренды имущества (строка 224)</t>
  </si>
  <si>
    <t>2.13.6. Обоснования (расчеты) расходов на оплату работ, услуг по содержанию имущества (строка 225)</t>
  </si>
  <si>
    <t>2.13.7. Обоснования (расчеты) расходов на оплату прочих работ, услуг (строка 226)</t>
  </si>
  <si>
    <t>2.13.8. Обоснования (расчеты) расходов на оплату страхования (строка 227)</t>
  </si>
  <si>
    <t>2.13.9. Обоснования (расчеты) расходов на уплату штрафов за нарушение законодательства и иные выплаты текущего характера (строка 296,297)</t>
  </si>
  <si>
    <t>2.13.10. Обоснования (расчеты) расходов на приобретение основных средств  (строки 310)</t>
  </si>
  <si>
    <t>2.13.11. Обоснования (расчеты) расходов на приобретение  материальных запасов (строки 340)</t>
  </si>
  <si>
    <t>2.10. Обоснования (расчеты) расходов на уплату налогов, пошлин и сборов (строка 291)</t>
  </si>
  <si>
    <t>2.4. Обоснования (расчеты) расходов на прочие несоциальные выплату персонала в натуральной форме (строка 214)</t>
  </si>
  <si>
    <t>Количество, единиц</t>
  </si>
  <si>
    <t>Стоимость за единицу, рублей</t>
  </si>
  <si>
    <t>210+290 не в закупках</t>
  </si>
  <si>
    <t>отклонение</t>
  </si>
  <si>
    <t>выплаты всего - отклонение</t>
  </si>
  <si>
    <t>2021 год</t>
  </si>
  <si>
    <t>2022 год</t>
  </si>
  <si>
    <t>Приносящая доход деятельности</t>
  </si>
  <si>
    <t>Приносящая доход деятельность</t>
  </si>
  <si>
    <t>Итого 341</t>
  </si>
  <si>
    <t>Итого 342</t>
  </si>
  <si>
    <t>Итого 343</t>
  </si>
  <si>
    <t>Итого 344</t>
  </si>
  <si>
    <t>Итого 345</t>
  </si>
  <si>
    <t>Итого 346</t>
  </si>
  <si>
    <t>Итого 349</t>
  </si>
  <si>
    <t>Фонд оплаты труда, руб. (211,213,266)</t>
  </si>
  <si>
    <t>Итого 292</t>
  </si>
  <si>
    <t>Итого 293</t>
  </si>
  <si>
    <t>Итого 295</t>
  </si>
  <si>
    <t>Итого 296</t>
  </si>
  <si>
    <t>Итого 297</t>
  </si>
  <si>
    <t>2.13.11. Обоснования (расчеты) расходов на приобретение нематериальных активов  (строки 320)</t>
  </si>
  <si>
    <t>2.13.12. Обоснования (расчеты) расходов на приобретение  материальных запасов (строки 340)</t>
  </si>
  <si>
    <t>1.7. Расчет доходов от прочих поступлений</t>
  </si>
  <si>
    <t>Код вида доходов</t>
  </si>
  <si>
    <t>Обоснования (расчеты) доходов и расходов к плану финансово-хозяйственной деятельности (……………….) на 20___ год</t>
  </si>
  <si>
    <t>1.8. Расчет выплат уменьшающих доход</t>
  </si>
  <si>
    <t>IV. Сведения по выплатам на закупки товаров, работ, услуг</t>
  </si>
  <si>
    <t>V. Сведения по выплатам на закупки товаров, работ, услуг</t>
  </si>
  <si>
    <t>VI. Сведения по выплатам на закупки товаров, работ, услуг</t>
  </si>
  <si>
    <t>VIII. Поступления и выплаты</t>
  </si>
  <si>
    <t>IX. Поступления и выплаты</t>
  </si>
  <si>
    <t>X. Сведения по выплатам на закупки товаров, работ, услуг</t>
  </si>
  <si>
    <t>XI. Сведения по выплатам на закупки товаров, работ, услуг</t>
  </si>
  <si>
    <t>XII. Сведения по выплатам на закупки товаров, работ, услуг</t>
  </si>
  <si>
    <t xml:space="preserve">Сумма по соглашению, руб. </t>
  </si>
  <si>
    <t>Безвозмездные денежные поступления текущего характера</t>
  </si>
  <si>
    <t>Прочие поступления</t>
  </si>
  <si>
    <t>Увеличение остатков денежных средств за счет возмещения средств от фонда социального страхования прошлых лет</t>
  </si>
  <si>
    <t>С.Л.Калинская</t>
  </si>
  <si>
    <t>И.В.Максименко</t>
  </si>
  <si>
    <t>Директор</t>
  </si>
  <si>
    <t xml:space="preserve">Заместитель директора </t>
  </si>
  <si>
    <t>Заведующий ХПЧ</t>
  </si>
  <si>
    <t>Главный бухгалтер</t>
  </si>
  <si>
    <t>Заместитель главного бухгалтера</t>
  </si>
  <si>
    <t>Ведущий бухгалтер</t>
  </si>
  <si>
    <t>Бухгалтер</t>
  </si>
  <si>
    <t>Кассир-инкассатор</t>
  </si>
  <si>
    <t>Главный экономист</t>
  </si>
  <si>
    <t xml:space="preserve">Экономист </t>
  </si>
  <si>
    <t>Главный  администратор</t>
  </si>
  <si>
    <t>Администратор по связям с общественностью</t>
  </si>
  <si>
    <t>Инженер энергетик</t>
  </si>
  <si>
    <t>Инженер электронник</t>
  </si>
  <si>
    <t>Инженер материально-техехнического снабжения</t>
  </si>
  <si>
    <t>Юрисконсульт</t>
  </si>
  <si>
    <t>Зав. хозяйством</t>
  </si>
  <si>
    <t>Начальник отдела кадров</t>
  </si>
  <si>
    <t>Специалист отдела кадров</t>
  </si>
  <si>
    <t>Специалист  по охране труда</t>
  </si>
  <si>
    <t>Заведующая складом</t>
  </si>
  <si>
    <t>Заведующая  канцелярией</t>
  </si>
  <si>
    <t>Архивариус</t>
  </si>
  <si>
    <t>Музыкальный руководитель</t>
  </si>
  <si>
    <t>Главный дирижер</t>
  </si>
  <si>
    <t>Главный режиссер</t>
  </si>
  <si>
    <t>Главный балетмейстер</t>
  </si>
  <si>
    <t>Главный художник</t>
  </si>
  <si>
    <t>Хормейстер высшей категории</t>
  </si>
  <si>
    <t>Режиссер высшей категории</t>
  </si>
  <si>
    <t>Дирижер высшей категории</t>
  </si>
  <si>
    <t>Концертмейстер по вокалу, балету</t>
  </si>
  <si>
    <t>Руководитель  литературно-драматической частью</t>
  </si>
  <si>
    <t>Помощник режиссера по труппе</t>
  </si>
  <si>
    <t>Ассистент  режиссера</t>
  </si>
  <si>
    <t>Ассистент балетмейстера</t>
  </si>
  <si>
    <t>Ассистент хормейстера</t>
  </si>
  <si>
    <t>Ассистент дирижера</t>
  </si>
  <si>
    <t>Репетитор по балет</t>
  </si>
  <si>
    <t>Репетитор по вокалу</t>
  </si>
  <si>
    <t>Артисты-вокалисты  (солисты) ведущие мастера сцены</t>
  </si>
  <si>
    <t>Артисты-вокалисты  (солисты) высшей категории</t>
  </si>
  <si>
    <t>Артисты-вокалисты (солисты) I категории</t>
  </si>
  <si>
    <t>Артист хора высшей категории</t>
  </si>
  <si>
    <t>Артист хора I категории</t>
  </si>
  <si>
    <t>Артист балета (солист) высшей категории</t>
  </si>
  <si>
    <t>Артист балета высшей категории</t>
  </si>
  <si>
    <t>Артист балета I категории</t>
  </si>
  <si>
    <t>Артист оркестра-ведущие руководители групп</t>
  </si>
  <si>
    <t>Артист оркестра высшей категории</t>
  </si>
  <si>
    <t>Артист оркестра I категории</t>
  </si>
  <si>
    <t>Ведущий инженер по сценическому оборудованию</t>
  </si>
  <si>
    <t>Инженер по оборудованию</t>
  </si>
  <si>
    <t>Машинист сцены</t>
  </si>
  <si>
    <t>Монтировщик сцены</t>
  </si>
  <si>
    <t>Старший мастер по изготовлению декораций</t>
  </si>
  <si>
    <t>Слесарь</t>
  </si>
  <si>
    <t>Столяр по изготовлению декораций</t>
  </si>
  <si>
    <t>Старший костюмер</t>
  </si>
  <si>
    <t>Костюмер</t>
  </si>
  <si>
    <t>Старший мастер                      гример-пастижер</t>
  </si>
  <si>
    <t>Гример-пастижер</t>
  </si>
  <si>
    <t>Ведущий инженер-электрик</t>
  </si>
  <si>
    <t>Художник по свету</t>
  </si>
  <si>
    <t>Инженер-электрик</t>
  </si>
  <si>
    <t>Техник-электрик</t>
  </si>
  <si>
    <t>Электроосветитель</t>
  </si>
  <si>
    <t>Старший мастер по пошиву театральных костюмов</t>
  </si>
  <si>
    <t>Художник-модельер</t>
  </si>
  <si>
    <t xml:space="preserve">Закройщики </t>
  </si>
  <si>
    <t>Старший реквизитор</t>
  </si>
  <si>
    <t>Реквизитор</t>
  </si>
  <si>
    <t>Заведующий декорационной мастерской</t>
  </si>
  <si>
    <t>Художник-бутафор</t>
  </si>
  <si>
    <t>Художник-декоратор</t>
  </si>
  <si>
    <t>Бутафор</t>
  </si>
  <si>
    <t>Заведующий билетными кассами</t>
  </si>
  <si>
    <t>Старший билетный кассир</t>
  </si>
  <si>
    <t>Билетный кассир</t>
  </si>
  <si>
    <t>Старший контролер билетов</t>
  </si>
  <si>
    <t>Контролер билетов</t>
  </si>
  <si>
    <t>Гардеробщик</t>
  </si>
  <si>
    <t>Уборщик территории</t>
  </si>
  <si>
    <t>Машинист по стирке одежды</t>
  </si>
  <si>
    <t>Инспектор по ГО и ЧС</t>
  </si>
  <si>
    <t>Подсобный рабочий</t>
  </si>
  <si>
    <t>Библиотекарь</t>
  </si>
  <si>
    <t>Механик ОТК</t>
  </si>
  <si>
    <t>Водитель</t>
  </si>
  <si>
    <t>Заведующий общежитием</t>
  </si>
  <si>
    <t>Радио точка</t>
  </si>
  <si>
    <t>Доступ к сети Интернет</t>
  </si>
  <si>
    <t>итого</t>
  </si>
  <si>
    <t>Техническое обслуживание и ремонт АУПТ</t>
  </si>
  <si>
    <t>Техническое обслуживание средств охраны в кассе</t>
  </si>
  <si>
    <t>Услуги по реагированию охранно-пожарной сигнализации</t>
  </si>
  <si>
    <t>Услуги по охране срабатывания тревожной сигнализации</t>
  </si>
  <si>
    <t xml:space="preserve">Обучение </t>
  </si>
  <si>
    <t>Переплет</t>
  </si>
  <si>
    <t>Сопровождение программного обеспечения правовой справочной системы</t>
  </si>
  <si>
    <t>Канцелярские товары</t>
  </si>
  <si>
    <t>Хозяйственные товары</t>
  </si>
  <si>
    <t>Расходный материал для орг.техники</t>
  </si>
  <si>
    <t>Бумага офисная</t>
  </si>
  <si>
    <t>Бытовая химия, моющие средства</t>
  </si>
  <si>
    <t>Главный администратор</t>
  </si>
  <si>
    <t>Инженер материально-технического снабжения</t>
  </si>
  <si>
    <t>Заведующий хозяйством</t>
  </si>
  <si>
    <t>Специалист  отдела кадров</t>
  </si>
  <si>
    <t>Специалист   по охране труда</t>
  </si>
  <si>
    <t>Репетитор по балету</t>
  </si>
  <si>
    <t>Заведующий  общежитием</t>
  </si>
  <si>
    <t>Уполномоченные по реализации театральных билетов</t>
  </si>
  <si>
    <t>Репетитор по хору</t>
  </si>
  <si>
    <t>Рабочий по реламе</t>
  </si>
  <si>
    <t>Слесарь по обсл. швейного оборудования</t>
  </si>
  <si>
    <t>Настройщик музыкальных инструментов</t>
  </si>
  <si>
    <t>Уборщик служебных помещений</t>
  </si>
  <si>
    <t>Компенсационные выплаты за грим</t>
  </si>
  <si>
    <t>Компенсационные выплаты за аммортизацию музыкальных инструментов</t>
  </si>
  <si>
    <t>Сотовая связь</t>
  </si>
  <si>
    <t>Международная, междугородняя связь</t>
  </si>
  <si>
    <t>Автотранспортные услуги</t>
  </si>
  <si>
    <t>2.13.6. Обоснования (расчеты) расходов на оплату работ, услуг по содержанию имущества                  (строка 225)</t>
  </si>
  <si>
    <t>Техническое обслуживание и ремонт пожарной сигнализации</t>
  </si>
  <si>
    <t>Техническое обслуживание и ремонт системы видеонаблюдения</t>
  </si>
  <si>
    <t>Техническое обслуживание орг.техники</t>
  </si>
  <si>
    <t>Ремонтные работы помещений театра и общежития</t>
  </si>
  <si>
    <t>Измерение сопротивления изоляции электропроводки</t>
  </si>
  <si>
    <t>Техосмотр автомобиля</t>
  </si>
  <si>
    <t>Прочие работы по содержанию имущества</t>
  </si>
  <si>
    <t>Поспектакльное отчисление авторского вознаграждения через РАО</t>
  </si>
  <si>
    <t>Договора гражданско-правового характера (уполномоченные по реализации билетов, приглашенные творческие работники постановочной группы и т.д.)</t>
  </si>
  <si>
    <t>Предрейсовый медосмотр водителей</t>
  </si>
  <si>
    <t>Размещение рекламы в городе</t>
  </si>
  <si>
    <t>Услуги веб-хостинга</t>
  </si>
  <si>
    <t>Услуги кредитной организации(комиссия по операциям торгового эквайринга)</t>
  </si>
  <si>
    <t>Инструментовка музыкального материала, выписка оркестровых голосов из партитуры к спектаклю</t>
  </si>
  <si>
    <t>Услуги курьерской почты</t>
  </si>
  <si>
    <t>Монтаж оборудования</t>
  </si>
  <si>
    <t>Сопровождение программного обеспечения  1С</t>
  </si>
  <si>
    <t xml:space="preserve">Мебель </t>
  </si>
  <si>
    <t>Декорации</t>
  </si>
  <si>
    <t>Костюмы сценические</t>
  </si>
  <si>
    <t>Шторы, жалюзи</t>
  </si>
  <si>
    <t xml:space="preserve">Бытовая техника </t>
  </si>
  <si>
    <t xml:space="preserve">Орг.техника </t>
  </si>
  <si>
    <t xml:space="preserve">Электроинструменты </t>
  </si>
  <si>
    <t xml:space="preserve">Бытовой инвентарь </t>
  </si>
  <si>
    <t xml:space="preserve">Реквизит для спектаклей </t>
  </si>
  <si>
    <t xml:space="preserve">Световое звуковое оборудование </t>
  </si>
  <si>
    <t>ГСМ</t>
  </si>
  <si>
    <t>Строительные материалы</t>
  </si>
  <si>
    <t>Мягкий инвентарь</t>
  </si>
  <si>
    <t>Прочие оборотные запасы</t>
  </si>
  <si>
    <t>Материальные запасы однократного применения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</si>
  <si>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2022 год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</si>
  <si>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2022 год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</si>
  <si>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2022 год</t>
  </si>
  <si>
    <t>тел. (8793) 97-38-23</t>
  </si>
  <si>
    <t>тел. (8793) 97-39-23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</si>
  <si>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2022 год</t>
  </si>
  <si>
    <t>1. Обоснования (расчеты) доходов к плану финансово-хозяйственной деятельности (за счет приносящей доход деятельности) на 2022 год</t>
  </si>
  <si>
    <t>2. Обоснования (расчеты) расходов к плану финансово-хозяйственной деятельности (за счет приносящей доход деятельности) на 2022 год</t>
  </si>
  <si>
    <t>тел.(8793) 97-38-23</t>
  </si>
  <si>
    <t>Найм жилья (общежитие)</t>
  </si>
  <si>
    <t>2.13.6. Обоснования (расчеты) расходов на оплату работ, услуг по содержанию имущества                (строка 225)</t>
  </si>
  <si>
    <t>2.13.6. Обоснования (расчеты) расходов на оплату работ, услуг по содержанию имущества                   (строка 225)</t>
  </si>
  <si>
    <t>2.13.6. Обоснования (расчеты) расходов на оплату работ, услуг по содержанию имущества            (строка 225)</t>
  </si>
  <si>
    <t>2.6. Обоснования (расчеты) выплат персоналу при направлении в служебные командировки            (строка 226)</t>
  </si>
  <si>
    <t>2.13.6. Обоснования (расчеты) расходов на оплату работ, услуг по содержанию имущества              (строка 225)</t>
  </si>
  <si>
    <t>Экономист</t>
  </si>
  <si>
    <t>Мероприятия по сохранению и развитию культуры</t>
  </si>
  <si>
    <t>Приобретение основных средств для осущетвления основных видов деятельности  театров и концертных организаций</t>
  </si>
  <si>
    <t>2. Обоснования (расчеты) расходов к плану финансово-хозяйственной деятельности (за счет целевых субсидий) на 2020 год</t>
  </si>
  <si>
    <t>Оплату договоров на право показа и исполнения произведений, а также на передачу прав использования аудиовизуальной продукции (авторы музыки, либретто, стихов, балетмейстер,художник)</t>
  </si>
  <si>
    <t>Услуги, работы для целей капитальных вложений</t>
  </si>
  <si>
    <t>Увеличение стоимости материальных запасов для целей капитальных вложений</t>
  </si>
  <si>
    <t>Услуги по измерению сопротивления изоляции электропроводки здания</t>
  </si>
  <si>
    <t>Звукорежиссер</t>
  </si>
  <si>
    <t>Видеооператор</t>
  </si>
  <si>
    <t>Секретарь директора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</si>
  <si>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2023 год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</si>
  <si>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2023 год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</si>
  <si>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2023 год</t>
  </si>
  <si>
    <t>2023 г.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</si>
  <si>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2023 год</t>
  </si>
  <si>
    <t>1. Обоснования (расчеты) доходов к плану финансово-хозяйственной деятельности (за счет приносящей доход деятельности) на 2023 год</t>
  </si>
  <si>
    <t>2. Обоснования (расчеты) расходов к плану финансово-хозяйственной деятельности (за счет приносящей доход деятельности) на 2023 год</t>
  </si>
  <si>
    <t xml:space="preserve">Обработка архива </t>
  </si>
  <si>
    <t>«___» __________ 2021 г.</t>
  </si>
  <si>
    <t xml:space="preserve"> </t>
  </si>
  <si>
    <t>Услуги по обработке помещений дезенфицирующими растворами</t>
  </si>
  <si>
    <t>Пособия по социальной помощи, выплачиваемые работодателями, нанимателями бывшим работникам в натуральной форме</t>
  </si>
  <si>
    <t>2.9. Обоснования (расчеты) расходов на социальные и иные выплаты населения (строка 265)</t>
  </si>
  <si>
    <t>Г.И.Леонова</t>
  </si>
  <si>
    <t xml:space="preserve"> VII. Поступления и выплаты</t>
  </si>
  <si>
    <t>Проведение капитального ремонта зданий и сооружений (включая ремонтно-реставрационные работы), закрепленных за Учреждениями в установленном порядке на праве оперативного управления, а также предусмотренных в договорах безвозмездного пользования нежилыми помещениями, в том числе проведение авторского надзора и строительного контроля в рамках проведения работ по капитальному ремонту зданий и сооружений (включая ремонтно-реставрационные работы) театров и концертных организаций</t>
  </si>
  <si>
    <t>Услуги и работы в рамках проведения капиатального ремонта (авторский и технический надзор)</t>
  </si>
  <si>
    <t>Сервер-компьютер в полной комплектации</t>
  </si>
  <si>
    <t>(за счет субсидии на выполнение государственного задания) на  2022  год</t>
  </si>
  <si>
    <t>(за счет субсидии на выполнение государственного задания) на 2022 год</t>
  </si>
  <si>
    <t>(за счет приносящей доход деятельности) на 2022 год</t>
  </si>
  <si>
    <t>2024 г.</t>
  </si>
  <si>
    <t>(за счет субсидии на выполнение государственного задания) на плановый период 2023 и 2024 годов</t>
  </si>
  <si>
    <t>(за счет приносящей доход деятельности) на плановый период 2023 и 2024 годов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</si>
  <si>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2024 год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</si>
  <si>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2024 год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</si>
  <si>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2024 год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</si>
  <si>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2024 год</t>
  </si>
  <si>
    <t>1. Обоснования (расчеты) доходов к плану финансово-хозяйственной деятельности (за счет приносящей доход деятельности) на 2024 год</t>
  </si>
  <si>
    <t>2. Обоснования (расчеты) расходов к плану финансово-хозяйственной деятельности (за счет приносящей доход деятельности) на 2024 год</t>
  </si>
  <si>
    <t xml:space="preserve">Люстра в зрительный зал </t>
  </si>
  <si>
    <t>Автомибиль легковой</t>
  </si>
  <si>
    <t>«___» __________ 2022 г.</t>
  </si>
  <si>
    <t xml:space="preserve"> Обоснования (расчеты) доходов и расходов к плану финансово-хозяйственной деятельности                           (за счет целевых субсидий) на 2022 год</t>
  </si>
  <si>
    <t>1. Обоснования (расчеты) доходов к плану финансово-хозяйственной деятельности                                         (за счет целевых субсидий) на 2022 год</t>
  </si>
  <si>
    <t>(за счет целевых субсидий) на 2022 год</t>
  </si>
  <si>
    <t>Приобретение комплекта мягких  декораций  к спктаклям "Свадьба в Малиновке", "Страсти святого Микаэля", "Двенадцать месяцев"</t>
  </si>
  <si>
    <t xml:space="preserve">микшерного звукового пульта BEHRINGER WING-269990, в комплекте с стейдж боксом BEHRINGER S32-82990 </t>
  </si>
  <si>
    <t>Оплата проживания работников театра в городе Екатеринбург</t>
  </si>
  <si>
    <t>Доходы от оказания услуг, работ, компенсации затрат учреждений, всего</t>
  </si>
  <si>
    <t>доход от возмещения по сокращению производственного травматизма</t>
  </si>
  <si>
    <t>страховые взносы на оплату дополнительного дня отдыха по уходу за ребенком-инвалидом</t>
  </si>
  <si>
    <t>Приобретение сценических костюмов к спектаклям "Свадьба в Малиновке", "Страсти святого Микаэля", "Двенадцать месяцев", Новогодний концерт "Рождественская звезда"</t>
  </si>
  <si>
    <t>полуботинки мужские лаковые</t>
  </si>
  <si>
    <t xml:space="preserve">ель искусственная белая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</si>
</sst>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  <font>
      <sz val="13.5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sz val="13.5"/>
      <color rgb="FF000000"/>
      <name val="Times New Roman"/>
      <family val="1"/>
      <charset val="204"/>
    </font>
    <font>
      <sz val="13.5"/>
      <color theme="1"/>
      <name val="Arial"/>
      <family val="2"/>
      <charset val="204"/>
    </font>
    <font>
      <sz val="13.5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16">
    <xf numFmtId="0" fontId="0" fillId="0" borderId="0" xfId="0"/>
    <xf numFmtId="4" fontId="3" fillId="0" borderId="2" xfId="0" applyNumberFormat="1" applyFont="1" applyFill="1" applyBorder="1" applyAlignment="1">
      <alignment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 vertical="center"/>
    </xf>
    <xf numFmtId="0" fontId="0" fillId="0" borderId="0" xfId="0" applyFill="1"/>
    <xf numFmtId="0" fontId="8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" fillId="0" borderId="0" xfId="0" applyFont="1" applyFill="1" applyAlignment="1">
      <alignment horizontal="justify" vertical="center"/>
    </xf>
    <xf numFmtId="0" fontId="3" fillId="0" borderId="2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0" fillId="0" borderId="0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justify" vertical="center"/>
    </xf>
    <xf numFmtId="0" fontId="3" fillId="0" borderId="12" xfId="0" applyFont="1" applyFill="1" applyBorder="1" applyAlignment="1">
      <alignment horizontal="justify" vertic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justify" vertical="center"/>
    </xf>
    <xf numFmtId="0" fontId="2" fillId="0" borderId="0" xfId="0" applyFont="1" applyFill="1" applyAlignment="1">
      <alignment horizontal="center" vertical="center"/>
    </xf>
    <xf numFmtId="4" fontId="3" fillId="0" borderId="7" xfId="0" applyNumberFormat="1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vertical="center" wrapText="1"/>
    </xf>
    <xf numFmtId="0" fontId="3" fillId="0" borderId="18" xfId="0" applyFont="1" applyFill="1" applyBorder="1" applyAlignment="1">
      <alignment horizontal="center" vertical="center" wrapText="1"/>
    </xf>
    <xf numFmtId="4" fontId="3" fillId="0" borderId="18" xfId="0" applyNumberFormat="1" applyFont="1" applyFill="1" applyBorder="1" applyAlignment="1">
      <alignment horizontal="right" vertical="center" wrapText="1"/>
    </xf>
    <xf numFmtId="4" fontId="3" fillId="0" borderId="19" xfId="0" applyNumberFormat="1" applyFont="1" applyFill="1" applyBorder="1" applyAlignment="1">
      <alignment horizontal="right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4" fontId="0" fillId="0" borderId="0" xfId="0" applyNumberFormat="1" applyFill="1"/>
    <xf numFmtId="49" fontId="3" fillId="0" borderId="0" xfId="0" applyNumberFormat="1" applyFont="1" applyFill="1" applyAlignment="1"/>
    <xf numFmtId="49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6" xfId="0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right" vertical="center" wrapText="1"/>
    </xf>
    <xf numFmtId="4" fontId="3" fillId="0" borderId="4" xfId="0" applyNumberFormat="1" applyFont="1" applyFill="1" applyBorder="1" applyAlignment="1">
      <alignment vertical="center" wrapText="1"/>
    </xf>
    <xf numFmtId="4" fontId="3" fillId="0" borderId="5" xfId="0" applyNumberFormat="1" applyFont="1" applyFill="1" applyBorder="1" applyAlignment="1">
      <alignment vertical="center" wrapText="1"/>
    </xf>
    <xf numFmtId="4" fontId="3" fillId="0" borderId="3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7" fillId="0" borderId="1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vertical="center" wrapText="1"/>
    </xf>
    <xf numFmtId="0" fontId="10" fillId="0" borderId="36" xfId="0" applyFont="1" applyFill="1" applyBorder="1" applyAlignment="1">
      <alignment horizontal="center" vertical="center"/>
    </xf>
    <xf numFmtId="4" fontId="11" fillId="0" borderId="36" xfId="0" applyNumberFormat="1" applyFont="1" applyFill="1" applyBorder="1" applyAlignment="1">
      <alignment horizontal="center" vertical="center" wrapText="1"/>
    </xf>
    <xf numFmtId="4" fontId="10" fillId="0" borderId="36" xfId="0" applyNumberFormat="1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vertical="center"/>
    </xf>
    <xf numFmtId="4" fontId="12" fillId="0" borderId="36" xfId="0" applyNumberFormat="1" applyFont="1" applyFill="1" applyBorder="1" applyAlignment="1">
      <alignment horizontal="center" vertical="center" wrapText="1"/>
    </xf>
    <xf numFmtId="4" fontId="11" fillId="0" borderId="36" xfId="0" applyNumberFormat="1" applyFont="1" applyFill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horizontal="left" vertical="center"/>
    </xf>
    <xf numFmtId="0" fontId="11" fillId="0" borderId="36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left" vertical="center"/>
    </xf>
    <xf numFmtId="0" fontId="11" fillId="0" borderId="36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/>
    </xf>
    <xf numFmtId="0" fontId="15" fillId="0" borderId="36" xfId="0" applyFont="1" applyFill="1" applyBorder="1" applyAlignment="1">
      <alignment vertical="center" wrapText="1"/>
    </xf>
    <xf numFmtId="0" fontId="15" fillId="0" borderId="36" xfId="0" applyFont="1" applyFill="1" applyBorder="1" applyAlignment="1">
      <alignment horizontal="center" vertical="center"/>
    </xf>
    <xf numFmtId="4" fontId="15" fillId="0" borderId="36" xfId="0" applyNumberFormat="1" applyFont="1" applyFill="1" applyBorder="1" applyAlignment="1">
      <alignment horizontal="center" vertical="center" wrapText="1"/>
    </xf>
    <xf numFmtId="4" fontId="15" fillId="0" borderId="36" xfId="0" applyNumberFormat="1" applyFont="1" applyFill="1" applyBorder="1" applyAlignment="1">
      <alignment horizontal="center" vertical="center"/>
    </xf>
    <xf numFmtId="0" fontId="14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horizontal="center" vertical="center"/>
    </xf>
    <xf numFmtId="4" fontId="11" fillId="0" borderId="36" xfId="0" applyNumberFormat="1" applyFont="1" applyBorder="1" applyAlignment="1">
      <alignment horizontal="center" vertical="center" wrapText="1"/>
    </xf>
    <xf numFmtId="4" fontId="11" fillId="0" borderId="36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vertical="center"/>
    </xf>
    <xf numFmtId="0" fontId="10" fillId="0" borderId="36" xfId="0" applyFont="1" applyBorder="1" applyAlignment="1">
      <alignment vertical="center" wrapText="1"/>
    </xf>
    <xf numFmtId="4" fontId="10" fillId="0" borderId="36" xfId="0" applyNumberFormat="1" applyFont="1" applyBorder="1" applyAlignment="1">
      <alignment horizontal="center" vertical="center"/>
    </xf>
    <xf numFmtId="0" fontId="15" fillId="0" borderId="36" xfId="0" applyFont="1" applyBorder="1" applyAlignment="1">
      <alignment vertical="center" wrapText="1"/>
    </xf>
    <xf numFmtId="0" fontId="15" fillId="0" borderId="36" xfId="0" applyFont="1" applyBorder="1" applyAlignment="1">
      <alignment horizontal="center" vertical="center"/>
    </xf>
    <xf numFmtId="4" fontId="15" fillId="0" borderId="36" xfId="0" applyNumberFormat="1" applyFont="1" applyBorder="1" applyAlignment="1">
      <alignment horizontal="center" vertical="center"/>
    </xf>
    <xf numFmtId="0" fontId="15" fillId="0" borderId="36" xfId="0" applyFont="1" applyFill="1" applyBorder="1" applyAlignment="1">
      <alignment vertical="center"/>
    </xf>
    <xf numFmtId="4" fontId="7" fillId="0" borderId="36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11" xfId="0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vertical="center" wrapText="1"/>
    </xf>
    <xf numFmtId="0" fontId="17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justify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2" xfId="0" applyFont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3" fillId="0" borderId="1" xfId="0" applyFont="1" applyFill="1" applyBorder="1"/>
    <xf numFmtId="0" fontId="4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4" fontId="1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11" xfId="0" applyFill="1" applyBorder="1" applyAlignment="1"/>
    <xf numFmtId="0" fontId="21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6" fillId="0" borderId="36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/>
    </xf>
    <xf numFmtId="0" fontId="22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24" fillId="0" borderId="2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/>
    </xf>
    <xf numFmtId="0" fontId="25" fillId="0" borderId="0" xfId="0" applyFont="1" applyFill="1"/>
    <xf numFmtId="0" fontId="16" fillId="0" borderId="0" xfId="0" applyFont="1" applyFill="1"/>
    <xf numFmtId="0" fontId="1" fillId="0" borderId="0" xfId="0" applyFont="1" applyFill="1" applyAlignment="1">
      <alignment horizontal="justify" vertical="center"/>
    </xf>
    <xf numFmtId="4" fontId="3" fillId="0" borderId="0" xfId="0" applyNumberFormat="1" applyFont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 wrapText="1"/>
    </xf>
    <xf numFmtId="4" fontId="28" fillId="0" borderId="2" xfId="0" applyNumberFormat="1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7" fillId="0" borderId="0" xfId="0" applyFont="1"/>
    <xf numFmtId="0" fontId="17" fillId="0" borderId="1" xfId="0" applyFont="1" applyBorder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justify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17" fillId="0" borderId="2" xfId="0" applyFont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0" fillId="0" borderId="2" xfId="0" applyFill="1" applyBorder="1" applyAlignment="1"/>
    <xf numFmtId="0" fontId="17" fillId="0" borderId="6" xfId="0" applyFont="1" applyBorder="1" applyAlignment="1">
      <alignment vertical="center" wrapText="1"/>
    </xf>
    <xf numFmtId="0" fontId="17" fillId="0" borderId="11" xfId="0" applyFont="1" applyBorder="1" applyAlignment="1">
      <alignment horizontal="center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vertical="center" wrapText="1"/>
    </xf>
    <xf numFmtId="4" fontId="3" fillId="0" borderId="16" xfId="0" applyNumberFormat="1" applyFont="1" applyFill="1" applyBorder="1" applyAlignment="1">
      <alignment vertical="center" wrapText="1"/>
    </xf>
    <xf numFmtId="0" fontId="3" fillId="0" borderId="48" xfId="0" applyFont="1" applyFill="1" applyBorder="1" applyAlignment="1">
      <alignment vertical="center" wrapText="1"/>
    </xf>
    <xf numFmtId="0" fontId="3" fillId="0" borderId="49" xfId="0" applyFont="1" applyFill="1" applyBorder="1" applyAlignment="1">
      <alignment horizontal="center" vertical="center" wrapText="1"/>
    </xf>
    <xf numFmtId="4" fontId="3" fillId="0" borderId="49" xfId="0" applyNumberFormat="1" applyFont="1" applyFill="1" applyBorder="1" applyAlignment="1">
      <alignment horizontal="right" vertical="center" wrapText="1"/>
    </xf>
    <xf numFmtId="4" fontId="3" fillId="0" borderId="49" xfId="0" applyNumberFormat="1" applyFont="1" applyFill="1" applyBorder="1" applyAlignment="1">
      <alignment vertical="center" wrapText="1"/>
    </xf>
    <xf numFmtId="4" fontId="3" fillId="0" borderId="50" xfId="0" applyNumberFormat="1" applyFont="1" applyFill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4" fontId="11" fillId="0" borderId="36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" fontId="0" fillId="0" borderId="0" xfId="0" applyNumberFormat="1" applyFill="1" applyAlignment="1">
      <alignment horizontal="left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11" fillId="0" borderId="36" xfId="0" applyNumberFormat="1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vertical="center" wrapText="1"/>
    </xf>
    <xf numFmtId="0" fontId="17" fillId="0" borderId="28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7" fillId="0" borderId="14" xfId="0" applyFont="1" applyBorder="1" applyAlignment="1">
      <alignment vertical="center" wrapText="1"/>
    </xf>
    <xf numFmtId="0" fontId="17" fillId="0" borderId="27" xfId="0" applyFont="1" applyBorder="1" applyAlignment="1">
      <alignment horizontal="center" vertical="center" wrapText="1"/>
    </xf>
    <xf numFmtId="4" fontId="3" fillId="0" borderId="18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2" fontId="17" fillId="0" borderId="0" xfId="0" applyNumberFormat="1" applyFont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0" fontId="30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right" vertical="center"/>
    </xf>
    <xf numFmtId="0" fontId="26" fillId="0" borderId="2" xfId="0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30" fillId="0" borderId="0" xfId="0" applyFont="1" applyFill="1" applyAlignment="1">
      <alignment horizontal="justify" vertical="center"/>
    </xf>
    <xf numFmtId="0" fontId="26" fillId="0" borderId="0" xfId="0" applyFont="1" applyFill="1" applyAlignment="1">
      <alignment horizontal="justify" vertical="center"/>
    </xf>
    <xf numFmtId="0" fontId="31" fillId="0" borderId="0" xfId="0" applyFont="1" applyFill="1"/>
    <xf numFmtId="2" fontId="3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1" fillId="0" borderId="6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vertical="center" wrapText="1"/>
    </xf>
    <xf numFmtId="0" fontId="26" fillId="0" borderId="8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/>
    </xf>
    <xf numFmtId="4" fontId="3" fillId="0" borderId="11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" fontId="11" fillId="0" borderId="36" xfId="0" applyNumberFormat="1" applyFont="1" applyFill="1" applyBorder="1" applyAlignment="1">
      <alignment horizontal="center" vertical="center" wrapText="1"/>
    </xf>
    <xf numFmtId="4" fontId="16" fillId="0" borderId="36" xfId="0" applyNumberFormat="1" applyFont="1" applyBorder="1" applyAlignment="1">
      <alignment horizontal="center" vertical="center"/>
    </xf>
    <xf numFmtId="0" fontId="17" fillId="0" borderId="36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4" fontId="16" fillId="0" borderId="2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/>
    </xf>
    <xf numFmtId="4" fontId="3" fillId="0" borderId="13" xfId="0" applyNumberFormat="1" applyFont="1" applyFill="1" applyBorder="1" applyAlignment="1">
      <alignment horizontal="center"/>
    </xf>
    <xf numFmtId="4" fontId="3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4" fontId="3" fillId="0" borderId="10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4" fontId="17" fillId="0" borderId="2" xfId="0" applyNumberFormat="1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center" vertical="center" wrapText="1"/>
    </xf>
    <xf numFmtId="4" fontId="3" fillId="0" borderId="11" xfId="0" applyNumberFormat="1" applyFont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/>
    </xf>
    <xf numFmtId="4" fontId="3" fillId="0" borderId="40" xfId="0" applyNumberFormat="1" applyFont="1" applyFill="1" applyBorder="1" applyAlignment="1">
      <alignment horizontal="center" vertical="center"/>
    </xf>
    <xf numFmtId="4" fontId="3" fillId="0" borderId="42" xfId="0" applyNumberFormat="1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2" xfId="0" applyFont="1" applyFill="1" applyBorder="1" applyAlignment="1">
      <alignment horizontal="left" vertical="center" wrapText="1"/>
    </xf>
    <xf numFmtId="0" fontId="0" fillId="0" borderId="40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41" xfId="0" applyFont="1" applyBorder="1" applyAlignment="1">
      <alignment horizontal="left" vertical="center" wrapText="1"/>
    </xf>
    <xf numFmtId="0" fontId="17" fillId="0" borderId="42" xfId="0" applyFont="1" applyBorder="1" applyAlignment="1">
      <alignment horizontal="left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4" fontId="16" fillId="0" borderId="40" xfId="0" applyNumberFormat="1" applyFont="1" applyBorder="1" applyAlignment="1">
      <alignment horizontal="center" vertical="center"/>
    </xf>
    <xf numFmtId="4" fontId="16" fillId="0" borderId="42" xfId="0" applyNumberFormat="1" applyFont="1" applyBorder="1" applyAlignment="1">
      <alignment horizontal="center" vertical="center"/>
    </xf>
    <xf numFmtId="0" fontId="16" fillId="0" borderId="30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4" fontId="16" fillId="0" borderId="36" xfId="0" applyNumberFormat="1" applyFont="1" applyBorder="1" applyAlignment="1">
      <alignment horizontal="center" vertical="center" wrapText="1"/>
    </xf>
    <xf numFmtId="4" fontId="16" fillId="0" borderId="36" xfId="0" applyNumberFormat="1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16" fillId="0" borderId="40" xfId="0" applyFont="1" applyBorder="1" applyAlignment="1">
      <alignment horizontal="left" vertical="center" wrapText="1"/>
    </xf>
    <xf numFmtId="0" fontId="16" fillId="0" borderId="42" xfId="0" applyFont="1" applyBorder="1" applyAlignment="1">
      <alignment horizontal="left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left" vertical="center" wrapText="1"/>
    </xf>
    <xf numFmtId="0" fontId="16" fillId="0" borderId="42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4" fontId="17" fillId="0" borderId="2" xfId="0" applyNumberFormat="1" applyFont="1" applyFill="1" applyBorder="1" applyAlignment="1">
      <alignment horizontal="center" vertical="center"/>
    </xf>
    <xf numFmtId="4" fontId="20" fillId="0" borderId="10" xfId="0" applyNumberFormat="1" applyFont="1" applyFill="1" applyBorder="1" applyAlignment="1">
      <alignment horizontal="center"/>
    </xf>
    <xf numFmtId="4" fontId="20" fillId="0" borderId="13" xfId="0" applyNumberFormat="1" applyFont="1" applyFill="1" applyBorder="1" applyAlignment="1">
      <alignment horizontal="center"/>
    </xf>
    <xf numFmtId="4" fontId="20" fillId="0" borderId="11" xfId="0" applyNumberFormat="1" applyFont="1" applyFill="1" applyBorder="1" applyAlignment="1">
      <alignment horizontal="center"/>
    </xf>
    <xf numFmtId="4" fontId="17" fillId="0" borderId="10" xfId="0" applyNumberFormat="1" applyFont="1" applyBorder="1" applyAlignment="1">
      <alignment horizontal="center" vertical="center" wrapText="1"/>
    </xf>
    <xf numFmtId="4" fontId="17" fillId="0" borderId="11" xfId="0" applyNumberFormat="1" applyFont="1" applyBorder="1" applyAlignment="1">
      <alignment horizontal="center" vertical="center" wrapText="1"/>
    </xf>
    <xf numFmtId="4" fontId="17" fillId="0" borderId="10" xfId="0" applyNumberFormat="1" applyFont="1" applyBorder="1" applyAlignment="1">
      <alignment horizontal="center" vertical="center"/>
    </xf>
    <xf numFmtId="4" fontId="17" fillId="0" borderId="11" xfId="0" applyNumberFormat="1" applyFont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2" fontId="17" fillId="0" borderId="2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2" fontId="17" fillId="0" borderId="11" xfId="0" applyNumberFormat="1" applyFont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1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7" fillId="0" borderId="1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4" fontId="27" fillId="0" borderId="10" xfId="0" applyNumberFormat="1" applyFont="1" applyFill="1" applyBorder="1" applyAlignment="1">
      <alignment horizontal="center" vertical="center" wrapText="1"/>
    </xf>
    <xf numFmtId="4" fontId="27" fillId="0" borderId="13" xfId="0" applyNumberFormat="1" applyFont="1" applyFill="1" applyBorder="1" applyAlignment="1">
      <alignment horizontal="center" vertical="center" wrapText="1"/>
    </xf>
    <xf numFmtId="4" fontId="27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" fontId="2" fillId="0" borderId="10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5" fillId="0" borderId="11" xfId="0" applyNumberFormat="1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 wrapText="1"/>
    </xf>
    <xf numFmtId="0" fontId="17" fillId="0" borderId="37" xfId="0" applyFont="1" applyBorder="1" applyAlignment="1">
      <alignment horizontal="left" vertical="center" wrapText="1"/>
    </xf>
    <xf numFmtId="0" fontId="17" fillId="0" borderId="38" xfId="0" applyFont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13" fillId="0" borderId="42" xfId="0" applyFont="1" applyBorder="1" applyAlignment="1">
      <alignment horizontal="left" vertical="center" wrapText="1"/>
    </xf>
    <xf numFmtId="0" fontId="17" fillId="0" borderId="43" xfId="0" applyFont="1" applyBorder="1" applyAlignment="1">
      <alignment horizontal="left" vertical="center" wrapText="1"/>
    </xf>
    <xf numFmtId="0" fontId="17" fillId="0" borderId="44" xfId="0" applyFont="1" applyBorder="1" applyAlignment="1">
      <alignment horizontal="left" vertical="center" wrapText="1"/>
    </xf>
    <xf numFmtId="0" fontId="17" fillId="0" borderId="45" xfId="0" applyFont="1" applyBorder="1" applyAlignment="1">
      <alignment horizontal="left" vertical="center" wrapText="1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center" vertical="center"/>
    </xf>
    <xf numFmtId="4" fontId="3" fillId="0" borderId="30" xfId="0" applyNumberFormat="1" applyFont="1" applyFill="1" applyBorder="1" applyAlignment="1">
      <alignment horizontal="center" vertical="center" wrapText="1"/>
    </xf>
    <xf numFmtId="4" fontId="3" fillId="0" borderId="27" xfId="0" applyNumberFormat="1" applyFont="1" applyFill="1" applyBorder="1" applyAlignment="1">
      <alignment horizontal="center" vertical="center" wrapText="1"/>
    </xf>
    <xf numFmtId="4" fontId="3" fillId="0" borderId="31" xfId="0" applyNumberFormat="1" applyFont="1" applyFill="1" applyBorder="1" applyAlignment="1">
      <alignment horizontal="center" vertical="center" wrapText="1"/>
    </xf>
    <xf numFmtId="4" fontId="3" fillId="0" borderId="28" xfId="0" applyNumberFormat="1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4" fontId="2" fillId="0" borderId="30" xfId="0" applyNumberFormat="1" applyFont="1" applyFill="1" applyBorder="1" applyAlignment="1">
      <alignment horizontal="center" vertical="center" wrapText="1"/>
    </xf>
    <xf numFmtId="4" fontId="2" fillId="0" borderId="27" xfId="0" applyNumberFormat="1" applyFont="1" applyFill="1" applyBorder="1" applyAlignment="1">
      <alignment horizontal="center" vertical="center" wrapText="1"/>
    </xf>
    <xf numFmtId="4" fontId="2" fillId="0" borderId="31" xfId="0" applyNumberFormat="1" applyFont="1" applyFill="1" applyBorder="1" applyAlignment="1">
      <alignment horizontal="center" vertical="center" wrapText="1"/>
    </xf>
    <xf numFmtId="4" fontId="2" fillId="0" borderId="28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center" vertical="center" wrapText="1"/>
    </xf>
    <xf numFmtId="4" fontId="0" fillId="0" borderId="10" xfId="0" applyNumberFormat="1" applyFill="1" applyBorder="1" applyAlignment="1">
      <alignment horizontal="center"/>
    </xf>
    <xf numFmtId="4" fontId="0" fillId="0" borderId="11" xfId="0" applyNumberFormat="1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38</xdr:col>
      <xdr:colOff>406628</xdr:colOff>
      <xdr:row>182</xdr:row>
      <xdr:rowOff>96792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571428" cy="333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5;&#1060;&#1061;&#1044;%20%202020\&#1055;&#1060;&#1061;&#1044;%20&#1085;&#1072;%202020%20&#1075;&#1086;&#1076;%20&#1080;%20&#1087;&#1083;&#1072;&#1085;&#1086;&#1074;&#1099;&#1081;%20&#1087;&#1077;&#1088;&#1080;&#1086;&#1076;%202021-2022%20&#1076;&#1083;&#1103;%20&#1087;&#1077;&#1095;&#1072;&#1090;&#108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7;&#1083;&#1072;&#1085;%20&#1092;&#1080;&#1085;-&#1093;&#1086;&#1079;,%20&#1088;&#1072;&#1089;&#1095;&#1077;&#1090;&#1099;%20&#1080;%20&#1087;&#1088;&#1086;&#1095;&#1077;&#1077;/&#1055;&#1060;&#1061;&#1044;%20%202020/&#1055;&#1060;&#1061;&#1044;%20&#1090;&#1077;&#1072;&#1090;&#1088;%20&#1054;&#1087;&#1077;&#1088;&#1077;&#1090;&#1090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с.зад на 2020 год "/>
      <sheetName val="платные на 2020 год "/>
      <sheetName val="иные субсидии 2020 год "/>
      <sheetName val="Закупки гос.задание на 2020 год"/>
      <sheetName val="Закупки платные на 2020 год"/>
      <sheetName val="Закупки иные на 2020 год "/>
      <sheetName val="гос.задание на 2021-2022 год "/>
      <sheetName val="платные на 2022-2022 год"/>
      <sheetName val="иные субсидии 2021-2022"/>
      <sheetName val="Закупки гос.зад на 2021-2022"/>
      <sheetName val="Закупки платные на 2021-2022"/>
      <sheetName val="Закупки иные на 2021-2022"/>
      <sheetName val="ОБОСНОВА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с.зад на 2020 год "/>
      <sheetName val="Закупки гос.задание на 2020 год"/>
      <sheetName val="обоснования гос.зад 2020 "/>
      <sheetName val="платные на 2020 год "/>
      <sheetName val="Закупки платные на 2020 год"/>
      <sheetName val="обоснования плат 2020"/>
      <sheetName val="иные субсидии 2020 год "/>
      <sheetName val="Закупки иные на 2020 год "/>
      <sheetName val="обоснования иные 2020 "/>
      <sheetName val="гос.задание на 2021-2022 год "/>
      <sheetName val="Закупки гос.зад на 2021-2022"/>
      <sheetName val="обоснования гос.зад 2021"/>
      <sheetName val="обоснования гос.зад 2022"/>
      <sheetName val="платные на 2022-2022 год"/>
      <sheetName val="Закупки платные на 2021-2022"/>
      <sheetName val="обоснования плат 2021"/>
      <sheetName val="обоснования плат 2022"/>
      <sheetName val="иные субсидии 2021-2022"/>
      <sheetName val="Закупки иные на 2021-2022"/>
      <sheetName val="ОБОСНОВАНИЯ"/>
    </sheetNames>
    <sheetDataSet>
      <sheetData sheetId="0"/>
      <sheetData sheetId="1"/>
      <sheetData sheetId="2"/>
      <sheetData sheetId="3">
        <row r="62">
          <cell r="D62">
            <v>0</v>
          </cell>
        </row>
        <row r="69">
          <cell r="D6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25" zoomScaleNormal="25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51"/>
  <sheetViews>
    <sheetView view="pageLayout" topLeftCell="A22" zoomScaleNormal="100" workbookViewId="0">
      <selection activeCell="G114" sqref="G114:G118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7" width="16.44140625" style="5" customWidth="1"/>
    <col min="8" max="8" width="18.6640625" style="5" bestFit="1" customWidth="1"/>
    <col min="9" max="10" width="13.6640625" style="5" bestFit="1" customWidth="1"/>
    <col min="11" max="11" width="14.33203125" style="5" bestFit="1" customWidth="1"/>
    <col min="12" max="16384" width="8.88671875" style="5"/>
  </cols>
  <sheetData>
    <row r="1" spans="1:11" ht="40.200000000000003" customHeight="1" x14ac:dyDescent="0.3">
      <c r="A1" s="432" t="s">
        <v>484</v>
      </c>
      <c r="B1" s="432"/>
      <c r="C1" s="432"/>
      <c r="D1" s="432"/>
      <c r="E1" s="432"/>
      <c r="F1" s="432"/>
      <c r="G1" s="432"/>
    </row>
    <row r="2" spans="1:11" ht="35.4" customHeight="1" x14ac:dyDescent="0.3">
      <c r="A2" s="432" t="s">
        <v>485</v>
      </c>
      <c r="B2" s="432"/>
      <c r="C2" s="432"/>
      <c r="D2" s="432"/>
      <c r="E2" s="432"/>
      <c r="F2" s="432"/>
      <c r="G2" s="432"/>
    </row>
    <row r="3" spans="1:11" ht="18" x14ac:dyDescent="0.35">
      <c r="A3" s="432" t="s">
        <v>186</v>
      </c>
      <c r="B3" s="432"/>
      <c r="C3" s="432"/>
      <c r="D3" s="432"/>
      <c r="E3" s="432"/>
      <c r="F3" s="432"/>
      <c r="G3" s="432"/>
      <c r="K3" s="74"/>
    </row>
    <row r="4" spans="1:11" ht="17.399999999999999" customHeight="1" x14ac:dyDescent="0.3">
      <c r="A4" s="96"/>
    </row>
    <row r="5" spans="1:11" ht="18.600000000000001" customHeight="1" x14ac:dyDescent="0.35">
      <c r="A5" s="7" t="s">
        <v>252</v>
      </c>
      <c r="B5" s="8">
        <v>150</v>
      </c>
      <c r="H5" s="44"/>
      <c r="I5" s="44"/>
      <c r="J5" s="44"/>
      <c r="K5" s="44"/>
    </row>
    <row r="6" spans="1:11" ht="15" x14ac:dyDescent="0.3">
      <c r="A6" s="9"/>
      <c r="H6" s="44"/>
      <c r="I6" s="44"/>
      <c r="J6" s="44"/>
      <c r="K6" s="44"/>
    </row>
    <row r="7" spans="1:11" ht="40.200000000000003" customHeight="1" x14ac:dyDescent="0.3">
      <c r="A7" s="97" t="s">
        <v>85</v>
      </c>
      <c r="B7" s="416" t="s">
        <v>171</v>
      </c>
      <c r="C7" s="416"/>
      <c r="D7" s="416" t="s">
        <v>172</v>
      </c>
      <c r="E7" s="416"/>
      <c r="F7" s="408" t="s">
        <v>170</v>
      </c>
      <c r="G7" s="410"/>
    </row>
    <row r="8" spans="1:11" ht="18" customHeight="1" x14ac:dyDescent="0.3">
      <c r="A8" s="97">
        <v>1</v>
      </c>
      <c r="B8" s="416">
        <v>2</v>
      </c>
      <c r="C8" s="416"/>
      <c r="D8" s="416">
        <v>3</v>
      </c>
      <c r="E8" s="416"/>
      <c r="F8" s="416">
        <v>4</v>
      </c>
      <c r="G8" s="416"/>
    </row>
    <row r="9" spans="1:11" ht="38.25" customHeight="1" x14ac:dyDescent="0.3">
      <c r="A9" s="11" t="s">
        <v>183</v>
      </c>
      <c r="B9" s="416" t="s">
        <v>116</v>
      </c>
      <c r="C9" s="416"/>
      <c r="D9" s="416" t="s">
        <v>116</v>
      </c>
      <c r="E9" s="416"/>
      <c r="F9" s="417">
        <f>'иные субсидии 2022 год '!E12</f>
        <v>5715006</v>
      </c>
      <c r="G9" s="417"/>
    </row>
    <row r="10" spans="1:11" ht="16.2" customHeight="1" x14ac:dyDescent="0.3">
      <c r="A10" s="96"/>
    </row>
    <row r="11" spans="1:11" ht="17.399999999999999" x14ac:dyDescent="0.3">
      <c r="A11" s="432" t="s">
        <v>443</v>
      </c>
      <c r="B11" s="432"/>
      <c r="C11" s="432"/>
      <c r="D11" s="432"/>
      <c r="E11" s="432"/>
      <c r="F11" s="432"/>
      <c r="G11" s="432"/>
    </row>
    <row r="12" spans="1:11" ht="10.199999999999999" customHeight="1" x14ac:dyDescent="0.3">
      <c r="A12" s="6"/>
    </row>
    <row r="13" spans="1:11" ht="17.399999999999999" x14ac:dyDescent="0.3">
      <c r="A13" s="415" t="s">
        <v>188</v>
      </c>
      <c r="B13" s="415"/>
      <c r="C13" s="415"/>
      <c r="D13" s="415"/>
      <c r="E13" s="415"/>
      <c r="F13" s="415"/>
      <c r="G13" s="415"/>
    </row>
    <row r="14" spans="1:11" ht="16.95" customHeight="1" x14ac:dyDescent="0.3">
      <c r="A14" s="7"/>
    </row>
    <row r="15" spans="1:11" ht="18" x14ac:dyDescent="0.35">
      <c r="A15" s="7" t="s">
        <v>144</v>
      </c>
      <c r="B15" s="8">
        <v>111</v>
      </c>
    </row>
    <row r="16" spans="1:11" ht="15" x14ac:dyDescent="0.3">
      <c r="A16" s="9"/>
    </row>
    <row r="17" spans="1:7" ht="18" x14ac:dyDescent="0.3">
      <c r="A17" s="416" t="s">
        <v>75</v>
      </c>
      <c r="B17" s="416" t="s">
        <v>76</v>
      </c>
      <c r="C17" s="416" t="s">
        <v>77</v>
      </c>
      <c r="D17" s="416"/>
      <c r="E17" s="416"/>
      <c r="F17" s="416"/>
      <c r="G17" s="416" t="s">
        <v>78</v>
      </c>
    </row>
    <row r="18" spans="1:7" ht="18" x14ac:dyDescent="0.3">
      <c r="A18" s="416"/>
      <c r="B18" s="416"/>
      <c r="C18" s="416" t="s">
        <v>79</v>
      </c>
      <c r="D18" s="416" t="s">
        <v>6</v>
      </c>
      <c r="E18" s="416"/>
      <c r="F18" s="416"/>
      <c r="G18" s="416"/>
    </row>
    <row r="19" spans="1:7" ht="72" x14ac:dyDescent="0.3">
      <c r="A19" s="416"/>
      <c r="B19" s="416"/>
      <c r="C19" s="416"/>
      <c r="D19" s="245" t="s">
        <v>80</v>
      </c>
      <c r="E19" s="243" t="s">
        <v>81</v>
      </c>
      <c r="F19" s="243" t="s">
        <v>82</v>
      </c>
      <c r="G19" s="416"/>
    </row>
    <row r="20" spans="1:7" ht="19.2" customHeight="1" x14ac:dyDescent="0.3">
      <c r="A20" s="97">
        <v>1</v>
      </c>
      <c r="B20" s="97">
        <v>2</v>
      </c>
      <c r="C20" s="97">
        <v>3</v>
      </c>
      <c r="D20" s="97">
        <v>4</v>
      </c>
      <c r="E20" s="97">
        <v>4</v>
      </c>
      <c r="F20" s="97">
        <v>5</v>
      </c>
      <c r="G20" s="97">
        <v>7</v>
      </c>
    </row>
    <row r="21" spans="1:7" x14ac:dyDescent="0.3">
      <c r="A21" s="189" t="s">
        <v>270</v>
      </c>
      <c r="B21" s="186">
        <v>2</v>
      </c>
      <c r="C21" s="233">
        <f t="shared" ref="C21:C22" si="0">SUM(D21:F21)</f>
        <v>1907.61</v>
      </c>
      <c r="D21" s="188"/>
      <c r="E21" s="233"/>
      <c r="F21" s="233">
        <v>1907.61</v>
      </c>
      <c r="G21" s="233">
        <f t="shared" ref="G21:G22" si="1">C21*B21*12</f>
        <v>45782.64</v>
      </c>
    </row>
    <row r="22" spans="1:7" x14ac:dyDescent="0.3">
      <c r="A22" s="185" t="s">
        <v>271</v>
      </c>
      <c r="B22" s="186">
        <v>1</v>
      </c>
      <c r="C22" s="233">
        <f t="shared" si="0"/>
        <v>1905.39</v>
      </c>
      <c r="D22" s="188"/>
      <c r="E22" s="190"/>
      <c r="F22" s="233">
        <v>1905.39</v>
      </c>
      <c r="G22" s="233">
        <f t="shared" si="1"/>
        <v>22864.68</v>
      </c>
    </row>
    <row r="23" spans="1:7" ht="26.4" x14ac:dyDescent="0.3">
      <c r="A23" s="185" t="s">
        <v>292</v>
      </c>
      <c r="B23" s="186">
        <v>1</v>
      </c>
      <c r="C23" s="233">
        <f t="shared" ref="C23:C57" si="2">SUM(D23:F23)</f>
        <v>5904.12</v>
      </c>
      <c r="D23" s="188"/>
      <c r="E23" s="233"/>
      <c r="F23" s="233">
        <v>5904.12</v>
      </c>
      <c r="G23" s="233">
        <f t="shared" ref="G23:G68" si="3">C23*B23*12</f>
        <v>70849.440000000002</v>
      </c>
    </row>
    <row r="24" spans="1:7" x14ac:dyDescent="0.3">
      <c r="A24" s="185" t="s">
        <v>293</v>
      </c>
      <c r="B24" s="186">
        <v>1</v>
      </c>
      <c r="C24" s="233">
        <f t="shared" si="2"/>
        <v>1534.92</v>
      </c>
      <c r="D24" s="188"/>
      <c r="E24" s="233"/>
      <c r="F24" s="233">
        <v>1534.92</v>
      </c>
      <c r="G24" s="233">
        <f t="shared" si="3"/>
        <v>18419.04</v>
      </c>
    </row>
    <row r="25" spans="1:7" x14ac:dyDescent="0.3">
      <c r="A25" s="185" t="s">
        <v>294</v>
      </c>
      <c r="B25" s="186">
        <v>1</v>
      </c>
      <c r="C25" s="233">
        <f t="shared" si="2"/>
        <v>5435.69</v>
      </c>
      <c r="D25" s="188"/>
      <c r="E25" s="233"/>
      <c r="F25" s="233">
        <v>5435.69</v>
      </c>
      <c r="G25" s="233">
        <f t="shared" si="3"/>
        <v>65228.28</v>
      </c>
    </row>
    <row r="26" spans="1:7" ht="19.2" customHeight="1" x14ac:dyDescent="0.3">
      <c r="A26" s="185" t="s">
        <v>295</v>
      </c>
      <c r="B26" s="186">
        <v>1</v>
      </c>
      <c r="C26" s="233">
        <f t="shared" si="2"/>
        <v>5135.6899999999996</v>
      </c>
      <c r="D26" s="188"/>
      <c r="E26" s="233"/>
      <c r="F26" s="233">
        <v>5135.6899999999996</v>
      </c>
      <c r="G26" s="233">
        <f t="shared" si="3"/>
        <v>61628.28</v>
      </c>
    </row>
    <row r="27" spans="1:7" x14ac:dyDescent="0.3">
      <c r="A27" s="185" t="s">
        <v>296</v>
      </c>
      <c r="B27" s="186">
        <v>1</v>
      </c>
      <c r="C27" s="233">
        <f t="shared" si="2"/>
        <v>5135.6899999999996</v>
      </c>
      <c r="D27" s="188"/>
      <c r="E27" s="233"/>
      <c r="F27" s="233">
        <v>5135.6899999999996</v>
      </c>
      <c r="G27" s="233">
        <f t="shared" si="3"/>
        <v>61628.28</v>
      </c>
    </row>
    <row r="28" spans="1:7" ht="26.4" x14ac:dyDescent="0.3">
      <c r="A28" s="185" t="s">
        <v>297</v>
      </c>
      <c r="B28" s="186">
        <v>1</v>
      </c>
      <c r="C28" s="233">
        <f t="shared" si="2"/>
        <v>5035.6899999999996</v>
      </c>
      <c r="D28" s="188"/>
      <c r="E28" s="233"/>
      <c r="F28" s="233">
        <v>5035.6899999999996</v>
      </c>
      <c r="G28" s="233">
        <f t="shared" si="3"/>
        <v>60428.28</v>
      </c>
    </row>
    <row r="29" spans="1:7" ht="26.4" x14ac:dyDescent="0.3">
      <c r="A29" s="185" t="s">
        <v>298</v>
      </c>
      <c r="B29" s="186">
        <v>1</v>
      </c>
      <c r="C29" s="233">
        <f t="shared" si="2"/>
        <v>5100.8100000000004</v>
      </c>
      <c r="D29" s="188"/>
      <c r="E29" s="233"/>
      <c r="F29" s="233">
        <v>5100.8100000000004</v>
      </c>
      <c r="G29" s="233">
        <f t="shared" si="3"/>
        <v>61209.72</v>
      </c>
    </row>
    <row r="30" spans="1:7" ht="26.4" x14ac:dyDescent="0.3">
      <c r="A30" s="185" t="s">
        <v>299</v>
      </c>
      <c r="B30" s="186">
        <v>1</v>
      </c>
      <c r="C30" s="233">
        <f t="shared" si="2"/>
        <v>5050.8100000000004</v>
      </c>
      <c r="D30" s="188"/>
      <c r="E30" s="233"/>
      <c r="F30" s="233">
        <v>5050.8100000000004</v>
      </c>
      <c r="G30" s="233">
        <f t="shared" si="3"/>
        <v>60609.72</v>
      </c>
    </row>
    <row r="31" spans="1:7" ht="26.4" x14ac:dyDescent="0.3">
      <c r="A31" s="185" t="s">
        <v>300</v>
      </c>
      <c r="B31" s="186">
        <v>4</v>
      </c>
      <c r="C31" s="233">
        <f t="shared" si="2"/>
        <v>1725.39</v>
      </c>
      <c r="D31" s="188"/>
      <c r="E31" s="233"/>
      <c r="F31" s="233">
        <v>1725.39</v>
      </c>
      <c r="G31" s="233">
        <f t="shared" si="3"/>
        <v>82818.720000000001</v>
      </c>
    </row>
    <row r="32" spans="1:7" ht="39.6" x14ac:dyDescent="0.3">
      <c r="A32" s="185" t="s">
        <v>301</v>
      </c>
      <c r="B32" s="186">
        <v>1</v>
      </c>
      <c r="C32" s="233">
        <f t="shared" si="2"/>
        <v>1556.45</v>
      </c>
      <c r="D32" s="188"/>
      <c r="E32" s="233"/>
      <c r="F32" s="233">
        <v>1556.45</v>
      </c>
      <c r="G32" s="233">
        <f t="shared" si="3"/>
        <v>18677.400000000001</v>
      </c>
    </row>
    <row r="33" spans="1:7" ht="24.75" customHeight="1" x14ac:dyDescent="0.3">
      <c r="A33" s="185" t="s">
        <v>302</v>
      </c>
      <c r="B33" s="186">
        <v>1</v>
      </c>
      <c r="C33" s="233">
        <f t="shared" si="2"/>
        <v>998.41</v>
      </c>
      <c r="D33" s="188"/>
      <c r="E33" s="233"/>
      <c r="F33" s="233">
        <v>998.41</v>
      </c>
      <c r="G33" s="233">
        <f t="shared" si="3"/>
        <v>11980.92</v>
      </c>
    </row>
    <row r="34" spans="1:7" x14ac:dyDescent="0.3">
      <c r="A34" s="185" t="s">
        <v>303</v>
      </c>
      <c r="B34" s="186">
        <v>2.5</v>
      </c>
      <c r="C34" s="233">
        <f t="shared" si="2"/>
        <v>993.14</v>
      </c>
      <c r="D34" s="188"/>
      <c r="E34" s="233"/>
      <c r="F34" s="233">
        <v>993.14</v>
      </c>
      <c r="G34" s="233">
        <f t="shared" si="3"/>
        <v>29794.199999999997</v>
      </c>
    </row>
    <row r="35" spans="1:7" ht="19.5" hidden="1" customHeight="1" x14ac:dyDescent="0.3">
      <c r="A35" s="185" t="s">
        <v>304</v>
      </c>
      <c r="B35" s="186">
        <v>0.5</v>
      </c>
      <c r="C35" s="233">
        <f t="shared" si="2"/>
        <v>0</v>
      </c>
      <c r="D35" s="188"/>
      <c r="E35" s="233"/>
      <c r="F35" s="233"/>
      <c r="G35" s="233">
        <f t="shared" si="3"/>
        <v>0</v>
      </c>
    </row>
    <row r="36" spans="1:7" hidden="1" x14ac:dyDescent="0.3">
      <c r="A36" s="185" t="s">
        <v>305</v>
      </c>
      <c r="B36" s="186">
        <v>0.5</v>
      </c>
      <c r="C36" s="233">
        <f t="shared" si="2"/>
        <v>0</v>
      </c>
      <c r="D36" s="188"/>
      <c r="E36" s="233"/>
      <c r="F36" s="233"/>
      <c r="G36" s="233">
        <f t="shared" si="3"/>
        <v>0</v>
      </c>
    </row>
    <row r="37" spans="1:7" ht="16.95" hidden="1" customHeight="1" x14ac:dyDescent="0.3">
      <c r="A37" s="185" t="s">
        <v>306</v>
      </c>
      <c r="B37" s="186">
        <v>0.5</v>
      </c>
      <c r="C37" s="233">
        <f t="shared" si="2"/>
        <v>0</v>
      </c>
      <c r="D37" s="188"/>
      <c r="E37" s="233"/>
      <c r="F37" s="233"/>
      <c r="G37" s="233">
        <f t="shared" si="3"/>
        <v>0</v>
      </c>
    </row>
    <row r="38" spans="1:7" hidden="1" x14ac:dyDescent="0.3">
      <c r="A38" s="185" t="s">
        <v>379</v>
      </c>
      <c r="B38" s="186">
        <v>1</v>
      </c>
      <c r="C38" s="233">
        <f>SUM(D38:F38)</f>
        <v>0</v>
      </c>
      <c r="D38" s="188"/>
      <c r="E38" s="233"/>
      <c r="F38" s="233"/>
      <c r="G38" s="233">
        <f t="shared" si="3"/>
        <v>0</v>
      </c>
    </row>
    <row r="39" spans="1:7" hidden="1" x14ac:dyDescent="0.3">
      <c r="A39" s="185" t="s">
        <v>308</v>
      </c>
      <c r="B39" s="186">
        <v>1</v>
      </c>
      <c r="C39" s="233">
        <f>SUM(D39:F39)</f>
        <v>0</v>
      </c>
      <c r="D39" s="188"/>
      <c r="E39" s="233"/>
      <c r="F39" s="233"/>
      <c r="G39" s="233">
        <f t="shared" si="3"/>
        <v>0</v>
      </c>
    </row>
    <row r="40" spans="1:7" hidden="1" x14ac:dyDescent="0.3">
      <c r="A40" s="196" t="s">
        <v>382</v>
      </c>
      <c r="B40" s="197">
        <v>1</v>
      </c>
      <c r="C40" s="198">
        <f t="shared" ref="C40" si="4">SUM(D40:F40)</f>
        <v>0</v>
      </c>
      <c r="D40" s="198"/>
      <c r="E40" s="233"/>
      <c r="F40" s="233"/>
      <c r="G40" s="233">
        <f t="shared" ref="G40" si="5">C40*B40*4</f>
        <v>0</v>
      </c>
    </row>
    <row r="41" spans="1:7" hidden="1" x14ac:dyDescent="0.3">
      <c r="A41" s="185" t="s">
        <v>448</v>
      </c>
      <c r="B41" s="186">
        <v>1</v>
      </c>
      <c r="C41" s="233">
        <f t="shared" si="2"/>
        <v>0</v>
      </c>
      <c r="D41" s="188"/>
      <c r="E41" s="233"/>
      <c r="F41" s="233"/>
      <c r="G41" s="233">
        <f t="shared" si="3"/>
        <v>0</v>
      </c>
    </row>
    <row r="42" spans="1:7" ht="39.6" hidden="1" x14ac:dyDescent="0.3">
      <c r="A42" s="185" t="s">
        <v>309</v>
      </c>
      <c r="B42" s="186">
        <v>12</v>
      </c>
      <c r="C42" s="233">
        <f t="shared" si="2"/>
        <v>0</v>
      </c>
      <c r="D42" s="188"/>
      <c r="E42" s="233"/>
      <c r="F42" s="233"/>
      <c r="G42" s="233">
        <f t="shared" si="3"/>
        <v>0</v>
      </c>
    </row>
    <row r="43" spans="1:7" ht="39.6" hidden="1" x14ac:dyDescent="0.3">
      <c r="A43" s="185" t="s">
        <v>310</v>
      </c>
      <c r="B43" s="186">
        <v>13</v>
      </c>
      <c r="C43" s="233">
        <f t="shared" si="2"/>
        <v>0</v>
      </c>
      <c r="D43" s="188"/>
      <c r="E43" s="233"/>
      <c r="F43" s="233"/>
      <c r="G43" s="233">
        <f t="shared" si="3"/>
        <v>0</v>
      </c>
    </row>
    <row r="44" spans="1:7" ht="26.4" hidden="1" x14ac:dyDescent="0.3">
      <c r="A44" s="185" t="s">
        <v>311</v>
      </c>
      <c r="B44" s="186">
        <v>4</v>
      </c>
      <c r="C44" s="233">
        <f t="shared" si="2"/>
        <v>0</v>
      </c>
      <c r="D44" s="188"/>
      <c r="E44" s="233"/>
      <c r="F44" s="233"/>
      <c r="G44" s="233">
        <f t="shared" si="3"/>
        <v>0</v>
      </c>
    </row>
    <row r="45" spans="1:7" ht="24.75" hidden="1" customHeight="1" x14ac:dyDescent="0.3">
      <c r="A45" s="185" t="s">
        <v>312</v>
      </c>
      <c r="B45" s="186">
        <v>9</v>
      </c>
      <c r="C45" s="233">
        <f t="shared" si="2"/>
        <v>0</v>
      </c>
      <c r="D45" s="188"/>
      <c r="E45" s="233"/>
      <c r="F45" s="233"/>
      <c r="G45" s="233">
        <f t="shared" si="3"/>
        <v>0</v>
      </c>
    </row>
    <row r="46" spans="1:7" hidden="1" x14ac:dyDescent="0.3">
      <c r="A46" s="189" t="s">
        <v>313</v>
      </c>
      <c r="B46" s="186">
        <v>12</v>
      </c>
      <c r="C46" s="233">
        <f t="shared" si="2"/>
        <v>0</v>
      </c>
      <c r="D46" s="188"/>
      <c r="E46" s="233"/>
      <c r="F46" s="233"/>
      <c r="G46" s="233">
        <f t="shared" si="3"/>
        <v>0</v>
      </c>
    </row>
    <row r="47" spans="1:7" ht="26.4" hidden="1" x14ac:dyDescent="0.3">
      <c r="A47" s="185" t="s">
        <v>314</v>
      </c>
      <c r="B47" s="186">
        <v>4</v>
      </c>
      <c r="C47" s="233">
        <f t="shared" si="2"/>
        <v>0</v>
      </c>
      <c r="D47" s="188"/>
      <c r="E47" s="233"/>
      <c r="F47" s="233"/>
      <c r="G47" s="233">
        <f t="shared" si="3"/>
        <v>0</v>
      </c>
    </row>
    <row r="48" spans="1:7" ht="26.4" hidden="1" x14ac:dyDescent="0.3">
      <c r="A48" s="185" t="s">
        <v>315</v>
      </c>
      <c r="B48" s="186">
        <v>7</v>
      </c>
      <c r="C48" s="233">
        <f t="shared" si="2"/>
        <v>0</v>
      </c>
      <c r="D48" s="188"/>
      <c r="E48" s="233"/>
      <c r="F48" s="233"/>
      <c r="G48" s="233">
        <f t="shared" si="3"/>
        <v>0</v>
      </c>
    </row>
    <row r="49" spans="1:8" hidden="1" x14ac:dyDescent="0.3">
      <c r="A49" s="185" t="s">
        <v>316</v>
      </c>
      <c r="B49" s="186">
        <v>8</v>
      </c>
      <c r="C49" s="233">
        <f t="shared" si="2"/>
        <v>0</v>
      </c>
      <c r="D49" s="188"/>
      <c r="E49" s="233"/>
      <c r="F49" s="233"/>
      <c r="G49" s="233">
        <f t="shared" si="3"/>
        <v>0</v>
      </c>
    </row>
    <row r="50" spans="1:8" ht="23.25" hidden="1" customHeight="1" x14ac:dyDescent="0.3">
      <c r="A50" s="185" t="s">
        <v>317</v>
      </c>
      <c r="B50" s="186">
        <v>16</v>
      </c>
      <c r="C50" s="233">
        <f t="shared" si="2"/>
        <v>0</v>
      </c>
      <c r="D50" s="188"/>
      <c r="E50" s="233"/>
      <c r="F50" s="233"/>
      <c r="G50" s="233">
        <f t="shared" si="3"/>
        <v>0</v>
      </c>
    </row>
    <row r="51" spans="1:8" ht="25.5" hidden="1" customHeight="1" x14ac:dyDescent="0.3">
      <c r="A51" s="185" t="s">
        <v>318</v>
      </c>
      <c r="B51" s="186">
        <v>7</v>
      </c>
      <c r="C51" s="233">
        <f t="shared" si="2"/>
        <v>0</v>
      </c>
      <c r="D51" s="188"/>
      <c r="E51" s="233"/>
      <c r="F51" s="233"/>
      <c r="G51" s="233">
        <f t="shared" si="3"/>
        <v>0</v>
      </c>
      <c r="H51" s="44"/>
    </row>
    <row r="52" spans="1:8" ht="26.4" hidden="1" x14ac:dyDescent="0.3">
      <c r="A52" s="185" t="s">
        <v>319</v>
      </c>
      <c r="B52" s="186">
        <v>6</v>
      </c>
      <c r="C52" s="233">
        <f t="shared" si="2"/>
        <v>0</v>
      </c>
      <c r="D52" s="188"/>
      <c r="E52" s="233"/>
      <c r="F52" s="233"/>
      <c r="G52" s="233">
        <f t="shared" si="3"/>
        <v>0</v>
      </c>
    </row>
    <row r="53" spans="1:8" ht="39.6" x14ac:dyDescent="0.3">
      <c r="A53" s="185" t="s">
        <v>320</v>
      </c>
      <c r="B53" s="186">
        <v>1</v>
      </c>
      <c r="C53" s="233">
        <f t="shared" si="2"/>
        <v>903.54</v>
      </c>
      <c r="D53" s="188"/>
      <c r="E53" s="233"/>
      <c r="F53" s="233">
        <v>903.54</v>
      </c>
      <c r="G53" s="233">
        <f t="shared" si="3"/>
        <v>10842.48</v>
      </c>
    </row>
    <row r="54" spans="1:8" ht="21" customHeight="1" x14ac:dyDescent="0.3">
      <c r="A54" s="189" t="s">
        <v>321</v>
      </c>
      <c r="B54" s="186">
        <v>1</v>
      </c>
      <c r="C54" s="233">
        <f t="shared" si="2"/>
        <v>865.7</v>
      </c>
      <c r="D54" s="188"/>
      <c r="E54" s="233"/>
      <c r="F54" s="233">
        <v>865.7</v>
      </c>
      <c r="G54" s="233">
        <f t="shared" si="3"/>
        <v>10388.400000000001</v>
      </c>
    </row>
    <row r="55" spans="1:8" x14ac:dyDescent="0.3">
      <c r="A55" s="189" t="s">
        <v>322</v>
      </c>
      <c r="B55" s="186">
        <v>2</v>
      </c>
      <c r="C55" s="233">
        <f t="shared" si="2"/>
        <v>756.21</v>
      </c>
      <c r="D55" s="188"/>
      <c r="E55" s="233"/>
      <c r="F55" s="233">
        <v>756.21</v>
      </c>
      <c r="G55" s="233">
        <f t="shared" si="3"/>
        <v>18149.04</v>
      </c>
    </row>
    <row r="56" spans="1:8" ht="16.2" customHeight="1" x14ac:dyDescent="0.3">
      <c r="A56" s="189" t="s">
        <v>323</v>
      </c>
      <c r="B56" s="186">
        <v>1</v>
      </c>
      <c r="C56" s="233">
        <f t="shared" si="2"/>
        <v>738.54</v>
      </c>
      <c r="D56" s="188"/>
      <c r="E56" s="233"/>
      <c r="F56" s="233">
        <v>738.54</v>
      </c>
      <c r="G56" s="233">
        <f t="shared" si="3"/>
        <v>8862.48</v>
      </c>
    </row>
    <row r="57" spans="1:8" ht="37.950000000000003" customHeight="1" x14ac:dyDescent="0.3">
      <c r="A57" s="185" t="s">
        <v>324</v>
      </c>
      <c r="B57" s="186">
        <v>1</v>
      </c>
      <c r="C57" s="233">
        <f t="shared" si="2"/>
        <v>926.97</v>
      </c>
      <c r="D57" s="188"/>
      <c r="E57" s="233"/>
      <c r="F57" s="233">
        <v>926.97</v>
      </c>
      <c r="G57" s="233">
        <f t="shared" si="3"/>
        <v>11123.64</v>
      </c>
    </row>
    <row r="58" spans="1:8" ht="15.6" hidden="1" customHeight="1" x14ac:dyDescent="0.3">
      <c r="A58" s="189" t="s">
        <v>325</v>
      </c>
      <c r="B58" s="186">
        <v>2</v>
      </c>
      <c r="C58" s="233">
        <f t="shared" ref="C58:C68" si="6">SUM(D58:F58)</f>
        <v>0</v>
      </c>
      <c r="D58" s="188"/>
      <c r="E58" s="233"/>
      <c r="F58" s="233"/>
      <c r="G58" s="233">
        <f t="shared" si="3"/>
        <v>0</v>
      </c>
    </row>
    <row r="59" spans="1:8" ht="22.95" hidden="1" customHeight="1" x14ac:dyDescent="0.3">
      <c r="A59" s="189" t="s">
        <v>327</v>
      </c>
      <c r="B59" s="186">
        <v>1</v>
      </c>
      <c r="C59" s="233">
        <f t="shared" si="6"/>
        <v>0</v>
      </c>
      <c r="D59" s="188"/>
      <c r="E59" s="233"/>
      <c r="F59" s="233"/>
      <c r="G59" s="233">
        <f t="shared" si="3"/>
        <v>0</v>
      </c>
    </row>
    <row r="60" spans="1:8" hidden="1" x14ac:dyDescent="0.3">
      <c r="A60" s="189" t="s">
        <v>328</v>
      </c>
      <c r="B60" s="186">
        <v>4</v>
      </c>
      <c r="C60" s="233">
        <f t="shared" si="6"/>
        <v>0</v>
      </c>
      <c r="D60" s="188"/>
      <c r="E60" s="233"/>
      <c r="F60" s="233"/>
      <c r="G60" s="233">
        <f t="shared" si="3"/>
        <v>0</v>
      </c>
    </row>
    <row r="61" spans="1:8" ht="24" hidden="1" customHeight="1" x14ac:dyDescent="0.3">
      <c r="A61" s="185" t="s">
        <v>329</v>
      </c>
      <c r="B61" s="186">
        <v>1</v>
      </c>
      <c r="C61" s="233">
        <f t="shared" si="6"/>
        <v>0</v>
      </c>
      <c r="D61" s="188"/>
      <c r="E61" s="233"/>
      <c r="F61" s="233"/>
      <c r="G61" s="233">
        <f t="shared" si="3"/>
        <v>0</v>
      </c>
    </row>
    <row r="62" spans="1:8" hidden="1" x14ac:dyDescent="0.3">
      <c r="A62" s="189" t="s">
        <v>330</v>
      </c>
      <c r="B62" s="186">
        <v>2.5</v>
      </c>
      <c r="C62" s="233">
        <f t="shared" si="6"/>
        <v>0</v>
      </c>
      <c r="D62" s="188"/>
      <c r="E62" s="233"/>
      <c r="F62" s="233"/>
      <c r="G62" s="233">
        <f t="shared" si="3"/>
        <v>0</v>
      </c>
    </row>
    <row r="63" spans="1:8" ht="26.4" x14ac:dyDescent="0.3">
      <c r="A63" s="185" t="s">
        <v>331</v>
      </c>
      <c r="B63" s="186">
        <v>1</v>
      </c>
      <c r="C63" s="233">
        <f t="shared" si="6"/>
        <v>873.54</v>
      </c>
      <c r="D63" s="188"/>
      <c r="E63" s="233"/>
      <c r="F63" s="233">
        <v>873.54</v>
      </c>
      <c r="G63" s="233">
        <f t="shared" si="3"/>
        <v>10482.48</v>
      </c>
    </row>
    <row r="64" spans="1:8" x14ac:dyDescent="0.3">
      <c r="A64" s="185" t="s">
        <v>332</v>
      </c>
      <c r="B64" s="186">
        <v>1</v>
      </c>
      <c r="C64" s="233">
        <f t="shared" si="6"/>
        <v>773.54</v>
      </c>
      <c r="D64" s="188"/>
      <c r="E64" s="233"/>
      <c r="F64" s="233">
        <v>773.54</v>
      </c>
      <c r="G64" s="233">
        <f t="shared" si="3"/>
        <v>9282.48</v>
      </c>
    </row>
    <row r="65" spans="1:8" hidden="1" x14ac:dyDescent="0.3">
      <c r="A65" s="189" t="s">
        <v>333</v>
      </c>
      <c r="B65" s="186">
        <v>2</v>
      </c>
      <c r="C65" s="233">
        <f t="shared" si="6"/>
        <v>0</v>
      </c>
      <c r="D65" s="188"/>
      <c r="E65" s="233"/>
      <c r="F65" s="233"/>
      <c r="G65" s="233">
        <f t="shared" si="3"/>
        <v>0</v>
      </c>
    </row>
    <row r="66" spans="1:8" hidden="1" x14ac:dyDescent="0.3">
      <c r="A66" s="189" t="s">
        <v>334</v>
      </c>
      <c r="B66" s="186">
        <v>2</v>
      </c>
      <c r="C66" s="233">
        <f t="shared" si="6"/>
        <v>0</v>
      </c>
      <c r="D66" s="188"/>
      <c r="E66" s="233"/>
      <c r="F66" s="233"/>
      <c r="G66" s="233">
        <f t="shared" si="3"/>
        <v>0</v>
      </c>
    </row>
    <row r="67" spans="1:8" hidden="1" x14ac:dyDescent="0.3">
      <c r="A67" s="189" t="s">
        <v>335</v>
      </c>
      <c r="B67" s="186">
        <v>2</v>
      </c>
      <c r="C67" s="233">
        <f t="shared" si="6"/>
        <v>0</v>
      </c>
      <c r="D67" s="188"/>
      <c r="E67" s="233"/>
      <c r="F67" s="233"/>
      <c r="G67" s="233">
        <f>C67*1*12</f>
        <v>0</v>
      </c>
    </row>
    <row r="68" spans="1:8" ht="17.25" hidden="1" customHeight="1" x14ac:dyDescent="0.3">
      <c r="A68" s="189" t="s">
        <v>449</v>
      </c>
      <c r="B68" s="186">
        <v>1</v>
      </c>
      <c r="C68" s="233">
        <f t="shared" si="6"/>
        <v>0</v>
      </c>
      <c r="D68" s="188"/>
      <c r="E68" s="233"/>
      <c r="F68" s="233"/>
      <c r="G68" s="233">
        <f t="shared" si="3"/>
        <v>0</v>
      </c>
    </row>
    <row r="69" spans="1:8" ht="24" customHeight="1" x14ac:dyDescent="0.3">
      <c r="A69" s="185" t="s">
        <v>336</v>
      </c>
      <c r="B69" s="186">
        <v>1</v>
      </c>
      <c r="C69" s="233">
        <f>SUM(D69:F69)</f>
        <v>893.54</v>
      </c>
      <c r="D69" s="188"/>
      <c r="E69" s="233"/>
      <c r="F69" s="233">
        <v>893.54</v>
      </c>
      <c r="G69" s="233">
        <f>C69*B69*12</f>
        <v>10722.48</v>
      </c>
    </row>
    <row r="70" spans="1:8" ht="17.25" customHeight="1" x14ac:dyDescent="0.3">
      <c r="A70" s="189" t="s">
        <v>337</v>
      </c>
      <c r="B70" s="186">
        <v>2</v>
      </c>
      <c r="C70" s="233">
        <f>SUM(D70:F70)</f>
        <v>828.12</v>
      </c>
      <c r="D70" s="188"/>
      <c r="E70" s="233"/>
      <c r="F70" s="233">
        <v>828.12</v>
      </c>
      <c r="G70" s="233">
        <f>C70*B70*12</f>
        <v>19874.88</v>
      </c>
    </row>
    <row r="71" spans="1:8" x14ac:dyDescent="0.3">
      <c r="A71" s="185" t="s">
        <v>338</v>
      </c>
      <c r="B71" s="186">
        <v>4</v>
      </c>
      <c r="C71" s="233">
        <f>SUM(D71:F71)</f>
        <v>710.65</v>
      </c>
      <c r="D71" s="188"/>
      <c r="E71" s="233"/>
      <c r="F71" s="233">
        <v>710.65</v>
      </c>
      <c r="G71" s="233">
        <f>C71*B71*12</f>
        <v>34111.199999999997</v>
      </c>
    </row>
    <row r="72" spans="1:8" hidden="1" x14ac:dyDescent="0.3">
      <c r="A72" s="189" t="s">
        <v>339</v>
      </c>
      <c r="B72" s="186">
        <v>1</v>
      </c>
      <c r="C72" s="233">
        <f>SUM(D72:F72)</f>
        <v>0</v>
      </c>
      <c r="D72" s="188"/>
      <c r="E72" s="233"/>
      <c r="F72" s="233"/>
      <c r="G72" s="233">
        <f>C72*B72*12</f>
        <v>0</v>
      </c>
    </row>
    <row r="73" spans="1:8" hidden="1" x14ac:dyDescent="0.3">
      <c r="A73" s="189" t="s">
        <v>340</v>
      </c>
      <c r="B73" s="186">
        <v>0.5</v>
      </c>
      <c r="C73" s="233">
        <f>SUM(D73:F73)</f>
        <v>0</v>
      </c>
      <c r="D73" s="188"/>
      <c r="E73" s="233"/>
      <c r="F73" s="233"/>
      <c r="G73" s="233">
        <f>C73*B73*12</f>
        <v>0</v>
      </c>
    </row>
    <row r="74" spans="1:8" ht="39.6" x14ac:dyDescent="0.3">
      <c r="A74" s="185" t="s">
        <v>341</v>
      </c>
      <c r="B74" s="186">
        <v>1</v>
      </c>
      <c r="C74" s="233">
        <f t="shared" ref="C74:C77" si="7">SUM(D74:F74)</f>
        <v>945.17</v>
      </c>
      <c r="D74" s="188"/>
      <c r="E74" s="233"/>
      <c r="F74" s="233">
        <v>945.17</v>
      </c>
      <c r="G74" s="233">
        <f>C74*B74*12+0.03</f>
        <v>11342.07</v>
      </c>
    </row>
    <row r="75" spans="1:8" hidden="1" x14ac:dyDescent="0.3">
      <c r="A75" s="189" t="s">
        <v>342</v>
      </c>
      <c r="B75" s="186">
        <v>4</v>
      </c>
      <c r="C75" s="233">
        <f t="shared" si="7"/>
        <v>0</v>
      </c>
      <c r="D75" s="188"/>
      <c r="E75" s="233"/>
      <c r="F75" s="233"/>
      <c r="G75" s="233">
        <f t="shared" ref="G75:G77" si="8">C75*B75*12</f>
        <v>0</v>
      </c>
    </row>
    <row r="76" spans="1:8" hidden="1" x14ac:dyDescent="0.3">
      <c r="A76" s="189" t="s">
        <v>343</v>
      </c>
      <c r="B76" s="186">
        <v>2</v>
      </c>
      <c r="C76" s="233">
        <f t="shared" si="7"/>
        <v>0</v>
      </c>
      <c r="D76" s="188"/>
      <c r="E76" s="233"/>
      <c r="F76" s="233"/>
      <c r="G76" s="233">
        <f t="shared" si="8"/>
        <v>0</v>
      </c>
    </row>
    <row r="77" spans="1:8" hidden="1" x14ac:dyDescent="0.3">
      <c r="A77" s="189" t="s">
        <v>344</v>
      </c>
      <c r="B77" s="186">
        <v>1.5</v>
      </c>
      <c r="C77" s="233">
        <f t="shared" si="7"/>
        <v>0</v>
      </c>
      <c r="D77" s="188"/>
      <c r="E77" s="233"/>
      <c r="F77" s="233"/>
      <c r="G77" s="233">
        <f t="shared" si="8"/>
        <v>0</v>
      </c>
    </row>
    <row r="78" spans="1:8" ht="2.25" hidden="1" customHeight="1" x14ac:dyDescent="0.3">
      <c r="A78" s="236" t="s">
        <v>361</v>
      </c>
      <c r="B78" s="237">
        <f>SUM(B20:B77)</f>
        <v>167.5</v>
      </c>
      <c r="C78" s="544"/>
      <c r="D78" s="545"/>
      <c r="E78" s="545"/>
      <c r="F78" s="546"/>
      <c r="G78" s="238">
        <f>SUM(G21:G77)</f>
        <v>827101.22999999986</v>
      </c>
    </row>
    <row r="79" spans="1:8" ht="17.25" customHeight="1" x14ac:dyDescent="0.3">
      <c r="A79" s="379" t="s">
        <v>145</v>
      </c>
      <c r="B79" s="379">
        <v>219.5</v>
      </c>
      <c r="C79" s="380"/>
      <c r="D79" s="380"/>
      <c r="E79" s="380"/>
      <c r="F79" s="380"/>
      <c r="G79" s="380">
        <f>'иные субсидии 2022 год '!E25+'иные субсидии 2022 год '!E62</f>
        <v>827101.23</v>
      </c>
      <c r="H79" s="44"/>
    </row>
    <row r="80" spans="1:8" ht="17.25" customHeight="1" x14ac:dyDescent="0.3">
      <c r="A80" s="17"/>
      <c r="B80" s="17"/>
      <c r="C80" s="305"/>
      <c r="D80" s="305"/>
      <c r="E80" s="305"/>
      <c r="F80" s="305"/>
      <c r="G80" s="305"/>
      <c r="H80" s="44"/>
    </row>
    <row r="81" spans="1:7" ht="17.399999999999999" x14ac:dyDescent="0.3">
      <c r="A81" s="547" t="s">
        <v>179</v>
      </c>
      <c r="B81" s="547"/>
      <c r="C81" s="547"/>
      <c r="D81" s="547"/>
      <c r="E81" s="547"/>
      <c r="F81" s="547"/>
      <c r="G81" s="547"/>
    </row>
    <row r="82" spans="1:7" ht="13.5" customHeight="1" x14ac:dyDescent="0.3">
      <c r="A82" s="310"/>
      <c r="B82" s="310"/>
      <c r="C82" s="310"/>
      <c r="D82" s="310"/>
      <c r="E82" s="310"/>
      <c r="F82" s="310"/>
      <c r="G82" s="310"/>
    </row>
    <row r="83" spans="1:7" ht="16.5" customHeight="1" x14ac:dyDescent="0.3">
      <c r="A83" s="7" t="s">
        <v>144</v>
      </c>
      <c r="B83" s="7">
        <v>119</v>
      </c>
    </row>
    <row r="84" spans="1:7" ht="15" x14ac:dyDescent="0.3">
      <c r="A84" s="9"/>
    </row>
    <row r="85" spans="1:7" x14ac:dyDescent="0.3">
      <c r="A85" s="437" t="s">
        <v>83</v>
      </c>
      <c r="B85" s="428" t="s">
        <v>243</v>
      </c>
      <c r="C85" s="429"/>
      <c r="D85" s="428" t="s">
        <v>184</v>
      </c>
      <c r="E85" s="429"/>
      <c r="F85" s="428" t="s">
        <v>84</v>
      </c>
      <c r="G85" s="429"/>
    </row>
    <row r="86" spans="1:7" ht="21" customHeight="1" x14ac:dyDescent="0.3">
      <c r="A86" s="550"/>
      <c r="B86" s="551"/>
      <c r="C86" s="552"/>
      <c r="D86" s="551"/>
      <c r="E86" s="552"/>
      <c r="F86" s="551"/>
      <c r="G86" s="552"/>
    </row>
    <row r="87" spans="1:7" ht="15.75" customHeight="1" x14ac:dyDescent="0.3">
      <c r="A87" s="309">
        <v>1</v>
      </c>
      <c r="B87" s="408">
        <v>2</v>
      </c>
      <c r="C87" s="410"/>
      <c r="D87" s="408">
        <v>3</v>
      </c>
      <c r="E87" s="410"/>
      <c r="F87" s="408">
        <v>4</v>
      </c>
      <c r="G87" s="410"/>
    </row>
    <row r="88" spans="1:7" ht="18" x14ac:dyDescent="0.3">
      <c r="A88" s="309">
        <f>B79</f>
        <v>219.5</v>
      </c>
      <c r="B88" s="452">
        <f>'иные субсидии 2022 год '!E25+'иные субсидии 2022 год '!E27+'иные субсидии 2022 год '!E62</f>
        <v>1076885.8</v>
      </c>
      <c r="C88" s="453"/>
      <c r="D88" s="452">
        <f>G79</f>
        <v>827101.23</v>
      </c>
      <c r="E88" s="453"/>
      <c r="F88" s="452">
        <f>B88-D88</f>
        <v>249784.57000000007</v>
      </c>
      <c r="G88" s="453"/>
    </row>
    <row r="89" spans="1:7" ht="16.5" customHeight="1" x14ac:dyDescent="0.3">
      <c r="A89" s="6"/>
    </row>
    <row r="90" spans="1:7" ht="17.25" customHeight="1" x14ac:dyDescent="0.3">
      <c r="A90" s="424" t="s">
        <v>438</v>
      </c>
      <c r="B90" s="424"/>
      <c r="C90" s="424"/>
      <c r="D90" s="424"/>
      <c r="E90" s="424"/>
      <c r="F90" s="424"/>
      <c r="G90" s="424"/>
    </row>
    <row r="91" spans="1:7" ht="17.25" customHeight="1" x14ac:dyDescent="0.3">
      <c r="A91" s="364"/>
      <c r="B91" s="364"/>
      <c r="C91" s="364"/>
      <c r="D91" s="364"/>
      <c r="E91" s="364"/>
      <c r="F91" s="364"/>
      <c r="G91" s="364"/>
    </row>
    <row r="92" spans="1:7" ht="17.25" customHeight="1" x14ac:dyDescent="0.35">
      <c r="A92" s="7" t="s">
        <v>146</v>
      </c>
      <c r="B92" s="8">
        <v>112</v>
      </c>
    </row>
    <row r="93" spans="1:7" ht="15" x14ac:dyDescent="0.3">
      <c r="A93" s="9"/>
    </row>
    <row r="94" spans="1:7" ht="43.5" customHeight="1" x14ac:dyDescent="0.3">
      <c r="A94" s="365" t="s">
        <v>85</v>
      </c>
      <c r="B94" s="365" t="s">
        <v>86</v>
      </c>
      <c r="C94" s="513" t="s">
        <v>87</v>
      </c>
      <c r="D94" s="513"/>
      <c r="E94" s="365" t="s">
        <v>88</v>
      </c>
      <c r="F94" s="513" t="s">
        <v>89</v>
      </c>
      <c r="G94" s="513"/>
    </row>
    <row r="95" spans="1:7" ht="15.75" customHeight="1" x14ac:dyDescent="0.3">
      <c r="A95" s="363">
        <v>1</v>
      </c>
      <c r="B95" s="363">
        <v>2</v>
      </c>
      <c r="C95" s="416">
        <v>3</v>
      </c>
      <c r="D95" s="416"/>
      <c r="E95" s="363">
        <v>4</v>
      </c>
      <c r="F95" s="416">
        <v>5</v>
      </c>
      <c r="G95" s="416"/>
    </row>
    <row r="96" spans="1:7" ht="36" x14ac:dyDescent="0.3">
      <c r="A96" s="362" t="s">
        <v>94</v>
      </c>
      <c r="B96" s="166">
        <v>2</v>
      </c>
      <c r="C96" s="417">
        <v>2008.33</v>
      </c>
      <c r="D96" s="417"/>
      <c r="E96" s="166">
        <v>6</v>
      </c>
      <c r="F96" s="417">
        <f>'иные субсидии 2022 год '!E52</f>
        <v>2800</v>
      </c>
      <c r="G96" s="417"/>
    </row>
    <row r="97" spans="1:7" ht="17.25" customHeight="1" x14ac:dyDescent="0.3">
      <c r="A97" s="13"/>
      <c r="B97" s="17"/>
      <c r="C97" s="17"/>
      <c r="D97" s="17"/>
      <c r="E97" s="17"/>
      <c r="F97" s="305"/>
      <c r="G97" s="305"/>
    </row>
    <row r="98" spans="1:7" ht="21.75" customHeight="1" x14ac:dyDescent="0.3">
      <c r="A98" s="415" t="s">
        <v>220</v>
      </c>
      <c r="B98" s="415"/>
      <c r="C98" s="415"/>
      <c r="D98" s="415"/>
      <c r="E98" s="415"/>
      <c r="F98" s="415"/>
      <c r="G98" s="415"/>
    </row>
    <row r="99" spans="1:7" ht="18" x14ac:dyDescent="0.3">
      <c r="A99" s="7"/>
    </row>
    <row r="100" spans="1:7" ht="18" x14ac:dyDescent="0.35">
      <c r="A100" s="7" t="s">
        <v>144</v>
      </c>
      <c r="B100" s="8">
        <v>244</v>
      </c>
    </row>
    <row r="101" spans="1:7" ht="17.399999999999999" x14ac:dyDescent="0.3">
      <c r="A101" s="6"/>
    </row>
    <row r="102" spans="1:7" ht="39.75" customHeight="1" x14ac:dyDescent="0.3">
      <c r="A102" s="408" t="s">
        <v>85</v>
      </c>
      <c r="B102" s="409"/>
      <c r="C102" s="409"/>
      <c r="D102" s="409"/>
      <c r="E102" s="410"/>
      <c r="F102" s="309" t="s">
        <v>136</v>
      </c>
      <c r="G102" s="309" t="s">
        <v>137</v>
      </c>
    </row>
    <row r="103" spans="1:7" ht="15.75" customHeight="1" x14ac:dyDescent="0.35">
      <c r="A103" s="408">
        <v>1</v>
      </c>
      <c r="B103" s="409"/>
      <c r="C103" s="409"/>
      <c r="D103" s="409"/>
      <c r="E103" s="410"/>
      <c r="F103" s="312">
        <v>2</v>
      </c>
      <c r="G103" s="311">
        <v>3</v>
      </c>
    </row>
    <row r="104" spans="1:7" ht="54.75" customHeight="1" x14ac:dyDescent="0.3">
      <c r="A104" s="412" t="s">
        <v>444</v>
      </c>
      <c r="B104" s="413"/>
      <c r="C104" s="413"/>
      <c r="D104" s="413"/>
      <c r="E104" s="414"/>
      <c r="F104" s="251">
        <v>10</v>
      </c>
      <c r="G104" s="313">
        <v>1080350</v>
      </c>
    </row>
    <row r="105" spans="1:7" ht="18" x14ac:dyDescent="0.3">
      <c r="A105" s="412" t="s">
        <v>489</v>
      </c>
      <c r="B105" s="413"/>
      <c r="C105" s="413"/>
      <c r="D105" s="413"/>
      <c r="E105" s="414"/>
      <c r="F105" s="251">
        <v>1</v>
      </c>
      <c r="G105" s="347">
        <v>24100</v>
      </c>
    </row>
    <row r="106" spans="1:7" ht="18" x14ac:dyDescent="0.35">
      <c r="A106" s="408" t="s">
        <v>361</v>
      </c>
      <c r="B106" s="409"/>
      <c r="C106" s="409"/>
      <c r="D106" s="409"/>
      <c r="E106" s="410"/>
      <c r="F106" s="312">
        <v>10</v>
      </c>
      <c r="G106" s="313">
        <f>'иные субсидии 2022 год '!E56</f>
        <v>1104450</v>
      </c>
    </row>
    <row r="107" spans="1:7" ht="17.25" customHeight="1" x14ac:dyDescent="0.35">
      <c r="A107" s="17"/>
      <c r="B107" s="17"/>
      <c r="C107" s="17"/>
      <c r="D107" s="17"/>
      <c r="E107" s="17"/>
      <c r="F107" s="175"/>
      <c r="G107" s="228"/>
    </row>
    <row r="108" spans="1:7" ht="20.25" customHeight="1" x14ac:dyDescent="0.3">
      <c r="A108" s="415" t="s">
        <v>223</v>
      </c>
      <c r="B108" s="415"/>
      <c r="C108" s="415"/>
      <c r="D108" s="415"/>
      <c r="E108" s="415"/>
      <c r="F108" s="415"/>
      <c r="G108" s="415"/>
    </row>
    <row r="109" spans="1:7" ht="18" customHeight="1" x14ac:dyDescent="0.3">
      <c r="A109" s="7"/>
    </row>
    <row r="110" spans="1:7" ht="18" customHeight="1" x14ac:dyDescent="0.35">
      <c r="A110" s="7" t="s">
        <v>144</v>
      </c>
      <c r="B110" s="8">
        <v>244</v>
      </c>
    </row>
    <row r="111" spans="1:7" ht="18" customHeight="1" x14ac:dyDescent="0.3">
      <c r="A111" s="6"/>
    </row>
    <row r="112" spans="1:7" ht="49.5" customHeight="1" x14ac:dyDescent="0.3">
      <c r="A112" s="513" t="s">
        <v>85</v>
      </c>
      <c r="B112" s="513"/>
      <c r="C112" s="513"/>
      <c r="D112" s="513"/>
      <c r="E112" s="202" t="s">
        <v>141</v>
      </c>
      <c r="F112" s="365" t="s">
        <v>142</v>
      </c>
      <c r="G112" s="365" t="s">
        <v>149</v>
      </c>
    </row>
    <row r="113" spans="1:7" ht="15.75" customHeight="1" x14ac:dyDescent="0.3">
      <c r="A113" s="416">
        <v>1</v>
      </c>
      <c r="B113" s="416"/>
      <c r="C113" s="416"/>
      <c r="D113" s="416"/>
      <c r="E113" s="243">
        <v>2</v>
      </c>
      <c r="F113" s="243">
        <v>3</v>
      </c>
      <c r="G113" s="243">
        <v>4</v>
      </c>
    </row>
    <row r="114" spans="1:7" ht="39.75" customHeight="1" x14ac:dyDescent="0.3">
      <c r="A114" s="558" t="s">
        <v>487</v>
      </c>
      <c r="B114" s="558"/>
      <c r="C114" s="558"/>
      <c r="D114" s="558"/>
      <c r="E114" s="243">
        <v>3</v>
      </c>
      <c r="F114" s="244">
        <v>366673.4</v>
      </c>
      <c r="G114" s="244">
        <f t="shared" ref="G114:G119" si="9">E114*F114</f>
        <v>1100020.2000000002</v>
      </c>
    </row>
    <row r="115" spans="1:7" ht="62.25" customHeight="1" x14ac:dyDescent="0.3">
      <c r="A115" s="558" t="s">
        <v>493</v>
      </c>
      <c r="B115" s="558"/>
      <c r="C115" s="558"/>
      <c r="D115" s="558"/>
      <c r="E115" s="243">
        <v>94</v>
      </c>
      <c r="F115" s="244">
        <v>18870.91</v>
      </c>
      <c r="G115" s="244">
        <f>E115*F115+0.44</f>
        <v>1773865.98</v>
      </c>
    </row>
    <row r="116" spans="1:7" ht="39.75" customHeight="1" x14ac:dyDescent="0.3">
      <c r="A116" s="553" t="s">
        <v>488</v>
      </c>
      <c r="B116" s="554"/>
      <c r="C116" s="554"/>
      <c r="D116" s="555"/>
      <c r="E116" s="276">
        <v>1</v>
      </c>
      <c r="F116" s="277">
        <v>436000</v>
      </c>
      <c r="G116" s="277">
        <f t="shared" si="9"/>
        <v>436000</v>
      </c>
    </row>
    <row r="117" spans="1:7" ht="18" x14ac:dyDescent="0.3">
      <c r="A117" s="411" t="s">
        <v>494</v>
      </c>
      <c r="B117" s="411"/>
      <c r="C117" s="411"/>
      <c r="D117" s="411"/>
      <c r="E117" s="243">
        <v>5</v>
      </c>
      <c r="F117" s="244">
        <v>9605.6</v>
      </c>
      <c r="G117" s="244">
        <f>E117*F117+0.02</f>
        <v>48028.02</v>
      </c>
    </row>
    <row r="118" spans="1:7" ht="18" x14ac:dyDescent="0.3">
      <c r="A118" s="556" t="s">
        <v>495</v>
      </c>
      <c r="B118" s="556"/>
      <c r="C118" s="556"/>
      <c r="D118" s="557"/>
      <c r="E118" s="352">
        <v>7</v>
      </c>
      <c r="F118" s="353">
        <v>9563.7099999999991</v>
      </c>
      <c r="G118" s="353">
        <f>E118*F118+0.03</f>
        <v>66946</v>
      </c>
    </row>
    <row r="119" spans="1:7" ht="18" hidden="1" x14ac:dyDescent="0.3">
      <c r="A119" s="412" t="s">
        <v>468</v>
      </c>
      <c r="B119" s="413"/>
      <c r="C119" s="413"/>
      <c r="D119" s="414"/>
      <c r="E119" s="352"/>
      <c r="F119" s="353">
        <v>350000</v>
      </c>
      <c r="G119" s="353">
        <f t="shared" si="9"/>
        <v>0</v>
      </c>
    </row>
    <row r="120" spans="1:7" ht="18" x14ac:dyDescent="0.3">
      <c r="A120" s="416" t="s">
        <v>361</v>
      </c>
      <c r="B120" s="416"/>
      <c r="C120" s="416"/>
      <c r="D120" s="416"/>
      <c r="E120" s="242"/>
      <c r="F120" s="243"/>
      <c r="G120" s="244">
        <f>'иные субсидии 2022 год '!E89</f>
        <v>3424860.2</v>
      </c>
    </row>
    <row r="121" spans="1:7" ht="17.399999999999999" x14ac:dyDescent="0.3">
      <c r="A121" s="6"/>
    </row>
    <row r="122" spans="1:7" ht="17.399999999999999" x14ac:dyDescent="0.3">
      <c r="A122" s="6"/>
    </row>
    <row r="123" spans="1:7" ht="17.399999999999999" x14ac:dyDescent="0.3">
      <c r="A123" s="6"/>
    </row>
    <row r="124" spans="1:7" ht="17.399999999999999" x14ac:dyDescent="0.3">
      <c r="A124" s="6"/>
    </row>
    <row r="125" spans="1:7" ht="17.399999999999999" x14ac:dyDescent="0.3">
      <c r="A125" s="6"/>
    </row>
    <row r="126" spans="1:7" ht="17.399999999999999" x14ac:dyDescent="0.3">
      <c r="A126" s="6"/>
    </row>
    <row r="127" spans="1:7" ht="17.399999999999999" x14ac:dyDescent="0.3">
      <c r="A127" s="6"/>
    </row>
    <row r="128" spans="1:7" ht="17.399999999999999" x14ac:dyDescent="0.3">
      <c r="A128" s="424" t="s">
        <v>250</v>
      </c>
      <c r="B128" s="424"/>
      <c r="C128" s="424"/>
      <c r="D128" s="424"/>
      <c r="E128" s="424"/>
      <c r="F128" s="424"/>
      <c r="G128" s="424"/>
    </row>
    <row r="129" spans="1:7" ht="18" x14ac:dyDescent="0.3">
      <c r="A129" s="7"/>
    </row>
    <row r="130" spans="1:7" ht="18" x14ac:dyDescent="0.35">
      <c r="A130" s="7" t="s">
        <v>144</v>
      </c>
      <c r="B130" s="8">
        <v>244</v>
      </c>
    </row>
    <row r="131" spans="1:7" ht="17.399999999999999" x14ac:dyDescent="0.3">
      <c r="A131" s="6"/>
    </row>
    <row r="132" spans="1:7" ht="18" x14ac:dyDescent="0.3">
      <c r="A132" s="408" t="s">
        <v>85</v>
      </c>
      <c r="B132" s="410"/>
      <c r="C132" s="343" t="s">
        <v>141</v>
      </c>
      <c r="D132" s="416" t="s">
        <v>142</v>
      </c>
      <c r="E132" s="416"/>
      <c r="F132" s="416" t="s">
        <v>149</v>
      </c>
      <c r="G132" s="416"/>
    </row>
    <row r="133" spans="1:7" ht="18" x14ac:dyDescent="0.3">
      <c r="A133" s="408">
        <v>1</v>
      </c>
      <c r="B133" s="410"/>
      <c r="C133" s="342">
        <v>2</v>
      </c>
      <c r="D133" s="408">
        <v>3</v>
      </c>
      <c r="E133" s="410"/>
      <c r="F133" s="408">
        <v>4</v>
      </c>
      <c r="G133" s="410"/>
    </row>
    <row r="134" spans="1:7" ht="18" hidden="1" x14ac:dyDescent="0.3">
      <c r="A134" s="515" t="s">
        <v>422</v>
      </c>
      <c r="B134" s="515"/>
      <c r="C134" s="349">
        <v>33</v>
      </c>
      <c r="D134" s="427">
        <v>708.10878787800004</v>
      </c>
      <c r="E134" s="427"/>
      <c r="F134" s="516">
        <f>C134*D134</f>
        <v>23367.589999974003</v>
      </c>
      <c r="G134" s="516"/>
    </row>
    <row r="135" spans="1:7" ht="18" hidden="1" x14ac:dyDescent="0.3">
      <c r="A135" s="411" t="s">
        <v>240</v>
      </c>
      <c r="B135" s="411"/>
      <c r="C135" s="348"/>
      <c r="D135" s="417"/>
      <c r="E135" s="417"/>
      <c r="F135" s="417">
        <f>'иные субсидии 2022 год '!E97</f>
        <v>0</v>
      </c>
      <c r="G135" s="417"/>
    </row>
    <row r="136" spans="1:7" ht="25.5" customHeight="1" x14ac:dyDescent="0.3">
      <c r="A136" s="548" t="s">
        <v>423</v>
      </c>
      <c r="B136" s="549"/>
      <c r="C136" s="344">
        <v>120</v>
      </c>
      <c r="D136" s="427">
        <v>883.41665999999998</v>
      </c>
      <c r="E136" s="427"/>
      <c r="F136" s="516">
        <f>C136*D136</f>
        <v>106009.99919999999</v>
      </c>
      <c r="G136" s="516"/>
    </row>
    <row r="137" spans="1:7" ht="18" x14ac:dyDescent="0.3">
      <c r="A137" s="412" t="s">
        <v>241</v>
      </c>
      <c r="B137" s="413"/>
      <c r="C137" s="167"/>
      <c r="D137" s="559"/>
      <c r="E137" s="560"/>
      <c r="F137" s="561">
        <f>'иные субсидии 2022 год '!E98</f>
        <v>106010</v>
      </c>
      <c r="G137" s="562"/>
    </row>
    <row r="138" spans="1:7" ht="18" x14ac:dyDescent="0.3">
      <c r="A138" s="26"/>
      <c r="B138" s="26"/>
      <c r="C138" s="345"/>
      <c r="D138" s="14"/>
      <c r="E138" s="14"/>
      <c r="F138" s="72"/>
      <c r="G138" s="72"/>
    </row>
    <row r="139" spans="1:7" ht="18" x14ac:dyDescent="0.3">
      <c r="A139" s="26"/>
      <c r="B139" s="26"/>
      <c r="C139" s="345"/>
      <c r="D139" s="14"/>
      <c r="E139" s="14"/>
      <c r="F139" s="72"/>
      <c r="G139" s="72"/>
    </row>
    <row r="140" spans="1:7" ht="18" x14ac:dyDescent="0.35">
      <c r="A140" s="395" t="s">
        <v>150</v>
      </c>
      <c r="B140" s="395"/>
      <c r="C140" s="400"/>
      <c r="D140" s="400"/>
      <c r="E140" s="8"/>
      <c r="F140" s="400" t="s">
        <v>267</v>
      </c>
      <c r="G140" s="400"/>
    </row>
    <row r="141" spans="1:7" ht="18" x14ac:dyDescent="0.35">
      <c r="A141" s="27"/>
      <c r="B141" s="8"/>
      <c r="C141" s="401" t="s">
        <v>53</v>
      </c>
      <c r="D141" s="401"/>
      <c r="E141" s="8"/>
      <c r="F141" s="401" t="s">
        <v>54</v>
      </c>
      <c r="G141" s="401"/>
    </row>
    <row r="142" spans="1:7" ht="12" customHeight="1" x14ac:dyDescent="0.35">
      <c r="A142" s="27"/>
      <c r="B142" s="8"/>
      <c r="C142" s="241"/>
      <c r="D142" s="241"/>
      <c r="E142" s="8"/>
      <c r="F142" s="241"/>
      <c r="G142" s="241"/>
    </row>
    <row r="143" spans="1:7" ht="18" x14ac:dyDescent="0.35">
      <c r="A143" s="396" t="s">
        <v>151</v>
      </c>
      <c r="B143" s="396"/>
      <c r="C143" s="400"/>
      <c r="D143" s="400"/>
      <c r="E143" s="8"/>
      <c r="F143" s="400" t="s">
        <v>464</v>
      </c>
      <c r="G143" s="400"/>
    </row>
    <row r="144" spans="1:7" ht="18" x14ac:dyDescent="0.35">
      <c r="A144" s="27"/>
      <c r="B144" s="8"/>
      <c r="C144" s="401" t="s">
        <v>53</v>
      </c>
      <c r="D144" s="401"/>
      <c r="E144" s="8"/>
      <c r="F144" s="401" t="s">
        <v>54</v>
      </c>
      <c r="G144" s="401"/>
    </row>
    <row r="145" spans="1:7" ht="12.75" customHeight="1" x14ac:dyDescent="0.35">
      <c r="A145" s="27"/>
      <c r="B145" s="8"/>
      <c r="C145" s="241"/>
      <c r="D145" s="241"/>
      <c r="E145" s="8"/>
      <c r="F145" s="241"/>
      <c r="G145" s="241"/>
    </row>
    <row r="146" spans="1:7" ht="18" x14ac:dyDescent="0.35">
      <c r="A146" s="395" t="s">
        <v>152</v>
      </c>
      <c r="B146" s="395"/>
      <c r="C146" s="400"/>
      <c r="D146" s="400"/>
      <c r="E146" s="8"/>
      <c r="F146" s="400" t="s">
        <v>268</v>
      </c>
      <c r="G146" s="400"/>
    </row>
    <row r="147" spans="1:7" ht="18" x14ac:dyDescent="0.35">
      <c r="A147" s="27"/>
      <c r="B147" s="8"/>
      <c r="C147" s="401" t="s">
        <v>53</v>
      </c>
      <c r="D147" s="401"/>
      <c r="E147" s="8"/>
      <c r="F147" s="401" t="s">
        <v>54</v>
      </c>
      <c r="G147" s="401"/>
    </row>
    <row r="148" spans="1:7" ht="18" x14ac:dyDescent="0.35">
      <c r="A148" s="396" t="s">
        <v>433</v>
      </c>
      <c r="B148" s="396"/>
      <c r="C148" s="8"/>
      <c r="D148" s="8"/>
      <c r="E148" s="8"/>
      <c r="F148" s="8"/>
      <c r="G148" s="8"/>
    </row>
    <row r="149" spans="1:7" ht="17.25" customHeight="1" x14ac:dyDescent="0.35">
      <c r="A149" s="396" t="s">
        <v>483</v>
      </c>
      <c r="B149" s="396"/>
      <c r="C149" s="8"/>
      <c r="D149" s="8"/>
      <c r="E149" s="8"/>
      <c r="F149" s="8"/>
      <c r="G149" s="8"/>
    </row>
    <row r="151" spans="1:7" x14ac:dyDescent="0.3">
      <c r="D151" s="5" t="s">
        <v>460</v>
      </c>
    </row>
  </sheetData>
  <mergeCells count="91">
    <mergeCell ref="C143:D143"/>
    <mergeCell ref="F143:G143"/>
    <mergeCell ref="A143:B143"/>
    <mergeCell ref="A149:B149"/>
    <mergeCell ref="C144:D144"/>
    <mergeCell ref="F144:G144"/>
    <mergeCell ref="C146:D146"/>
    <mergeCell ref="F146:G146"/>
    <mergeCell ref="C147:D147"/>
    <mergeCell ref="F147:G147"/>
    <mergeCell ref="A148:B148"/>
    <mergeCell ref="A146:B146"/>
    <mergeCell ref="F140:G140"/>
    <mergeCell ref="C141:D141"/>
    <mergeCell ref="F141:G141"/>
    <mergeCell ref="C140:D140"/>
    <mergeCell ref="A128:G128"/>
    <mergeCell ref="A132:B132"/>
    <mergeCell ref="D132:E132"/>
    <mergeCell ref="A135:B135"/>
    <mergeCell ref="D135:E135"/>
    <mergeCell ref="F135:G135"/>
    <mergeCell ref="D136:E136"/>
    <mergeCell ref="F136:G136"/>
    <mergeCell ref="A140:B140"/>
    <mergeCell ref="A137:B137"/>
    <mergeCell ref="D137:E137"/>
    <mergeCell ref="F137:G137"/>
    <mergeCell ref="F85:G86"/>
    <mergeCell ref="F96:G96"/>
    <mergeCell ref="A105:E105"/>
    <mergeCell ref="A90:G90"/>
    <mergeCell ref="C94:D94"/>
    <mergeCell ref="F94:G94"/>
    <mergeCell ref="C95:D95"/>
    <mergeCell ref="F95:G95"/>
    <mergeCell ref="A120:D120"/>
    <mergeCell ref="A116:D116"/>
    <mergeCell ref="A118:D118"/>
    <mergeCell ref="A119:D119"/>
    <mergeCell ref="D7:E7"/>
    <mergeCell ref="A108:G108"/>
    <mergeCell ref="A112:D112"/>
    <mergeCell ref="A113:D113"/>
    <mergeCell ref="A115:D115"/>
    <mergeCell ref="A117:D117"/>
    <mergeCell ref="A114:D114"/>
    <mergeCell ref="F7:G7"/>
    <mergeCell ref="C18:C19"/>
    <mergeCell ref="D18:F18"/>
    <mergeCell ref="A106:E106"/>
    <mergeCell ref="F88:G88"/>
    <mergeCell ref="A134:B134"/>
    <mergeCell ref="D134:E134"/>
    <mergeCell ref="F134:G134"/>
    <mergeCell ref="F132:G132"/>
    <mergeCell ref="A133:B133"/>
    <mergeCell ref="D133:E133"/>
    <mergeCell ref="F133:G133"/>
    <mergeCell ref="A136:B136"/>
    <mergeCell ref="C96:D96"/>
    <mergeCell ref="A3:G3"/>
    <mergeCell ref="B7:C7"/>
    <mergeCell ref="A102:E102"/>
    <mergeCell ref="A103:E103"/>
    <mergeCell ref="A104:E104"/>
    <mergeCell ref="A85:A86"/>
    <mergeCell ref="B85:C86"/>
    <mergeCell ref="D85:E86"/>
    <mergeCell ref="A98:G98"/>
    <mergeCell ref="B87:C87"/>
    <mergeCell ref="D87:E87"/>
    <mergeCell ref="F87:G87"/>
    <mergeCell ref="B88:C88"/>
    <mergeCell ref="D88:E88"/>
    <mergeCell ref="A1:G1"/>
    <mergeCell ref="A2:G2"/>
    <mergeCell ref="C78:F78"/>
    <mergeCell ref="A81:G81"/>
    <mergeCell ref="B8:C8"/>
    <mergeCell ref="D8:E8"/>
    <mergeCell ref="F8:G8"/>
    <mergeCell ref="B9:C9"/>
    <mergeCell ref="D9:E9"/>
    <mergeCell ref="F9:G9"/>
    <mergeCell ref="A11:G11"/>
    <mergeCell ref="A13:G13"/>
    <mergeCell ref="A17:A19"/>
    <mergeCell ref="B17:B19"/>
    <mergeCell ref="C17:F17"/>
    <mergeCell ref="G17:G19"/>
  </mergeCells>
  <pageMargins left="1.3779527559055118" right="0.39370078740157483" top="0.98425196850393704" bottom="0.78740157480314965" header="0.31496062992125984" footer="0.31496062992125984"/>
  <pageSetup paperSize="9" scale="6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04"/>
  <sheetViews>
    <sheetView showWhiteSpace="0" view="pageLayout" topLeftCell="A111" zoomScale="90" zoomScaleNormal="100" zoomScalePageLayoutView="90" workbookViewId="0">
      <selection sqref="A1:I116"/>
    </sheetView>
  </sheetViews>
  <sheetFormatPr defaultColWidth="8.88671875" defaultRowHeight="14.4" x14ac:dyDescent="0.3"/>
  <cols>
    <col min="1" max="1" width="27.5546875" style="5" customWidth="1"/>
    <col min="2" max="2" width="15.33203125" style="5" customWidth="1"/>
    <col min="3" max="3" width="14" style="5" customWidth="1"/>
    <col min="4" max="4" width="20.44140625" style="5" customWidth="1"/>
    <col min="5" max="5" width="22.33203125" style="5" customWidth="1"/>
    <col min="6" max="7" width="21.6640625" style="5" customWidth="1"/>
    <col min="8" max="8" width="22.88671875" style="5" customWidth="1"/>
    <col min="9" max="10" width="20.44140625" style="5" customWidth="1"/>
    <col min="11" max="12" width="12.88671875" style="5" customWidth="1"/>
    <col min="13" max="13" width="10.109375" style="5" customWidth="1"/>
    <col min="14" max="15" width="12.33203125" style="5" bestFit="1" customWidth="1"/>
    <col min="16" max="16384" width="8.88671875" style="5"/>
  </cols>
  <sheetData>
    <row r="1" spans="1:12" ht="17.399999999999999" x14ac:dyDescent="0.3">
      <c r="A1" s="384" t="s">
        <v>465</v>
      </c>
      <c r="B1" s="384"/>
      <c r="C1" s="384"/>
      <c r="D1" s="384"/>
      <c r="E1" s="384"/>
      <c r="F1" s="384"/>
      <c r="G1" s="384"/>
      <c r="H1" s="384"/>
      <c r="I1" s="384"/>
      <c r="J1" s="106"/>
      <c r="K1" s="106"/>
      <c r="L1" s="106"/>
    </row>
    <row r="2" spans="1:12" ht="17.399999999999999" x14ac:dyDescent="0.3">
      <c r="A2" s="384" t="s">
        <v>473</v>
      </c>
      <c r="B2" s="384"/>
      <c r="C2" s="384"/>
      <c r="D2" s="384"/>
      <c r="E2" s="384"/>
      <c r="F2" s="384"/>
      <c r="G2" s="384"/>
      <c r="H2" s="384"/>
      <c r="I2" s="384"/>
      <c r="J2" s="106"/>
      <c r="K2" s="106"/>
      <c r="L2" s="106"/>
    </row>
    <row r="3" spans="1:12" ht="15" x14ac:dyDescent="0.3">
      <c r="A3" s="28"/>
    </row>
    <row r="4" spans="1:12" ht="18" x14ac:dyDescent="0.3">
      <c r="A4" s="4"/>
      <c r="F4" s="4"/>
      <c r="I4" s="4" t="s">
        <v>51</v>
      </c>
      <c r="J4" s="4"/>
      <c r="K4" s="4"/>
      <c r="L4" s="4"/>
    </row>
    <row r="5" spans="1:12" ht="18.600000000000001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454</v>
      </c>
      <c r="F5" s="404"/>
      <c r="G5" s="404" t="s">
        <v>1</v>
      </c>
      <c r="H5" s="404" t="s">
        <v>472</v>
      </c>
      <c r="I5" s="404"/>
      <c r="J5" s="67"/>
      <c r="K5" s="67"/>
      <c r="L5" s="67"/>
    </row>
    <row r="6" spans="1:12" ht="78" x14ac:dyDescent="0.3">
      <c r="A6" s="405"/>
      <c r="B6" s="404"/>
      <c r="C6" s="406"/>
      <c r="D6" s="404"/>
      <c r="E6" s="229" t="s">
        <v>3</v>
      </c>
      <c r="F6" s="229" t="s">
        <v>4</v>
      </c>
      <c r="G6" s="404"/>
      <c r="H6" s="229" t="s">
        <v>3</v>
      </c>
      <c r="I6" s="229" t="s">
        <v>4</v>
      </c>
      <c r="J6" s="67"/>
      <c r="K6" s="67"/>
      <c r="L6" s="67"/>
    </row>
    <row r="7" spans="1:12" x14ac:dyDescent="0.3">
      <c r="A7" s="184">
        <v>1</v>
      </c>
      <c r="B7" s="184">
        <v>2</v>
      </c>
      <c r="C7" s="184">
        <v>3</v>
      </c>
      <c r="D7" s="184">
        <v>4</v>
      </c>
      <c r="E7" s="184">
        <v>5</v>
      </c>
      <c r="F7" s="184">
        <v>6</v>
      </c>
      <c r="G7" s="184">
        <v>7</v>
      </c>
      <c r="H7" s="184">
        <v>8</v>
      </c>
      <c r="I7" s="184">
        <v>9</v>
      </c>
      <c r="J7" s="68"/>
      <c r="K7" s="68"/>
      <c r="L7" s="68"/>
    </row>
    <row r="8" spans="1:12" ht="54" x14ac:dyDescent="0.3">
      <c r="A8" s="230" t="s">
        <v>47</v>
      </c>
      <c r="B8" s="231" t="s">
        <v>5</v>
      </c>
      <c r="C8" s="231" t="s">
        <v>5</v>
      </c>
      <c r="D8" s="3">
        <f>E8+F8</f>
        <v>0</v>
      </c>
      <c r="E8" s="3"/>
      <c r="F8" s="3"/>
      <c r="G8" s="3">
        <f>H8+I8</f>
        <v>0</v>
      </c>
      <c r="H8" s="3"/>
      <c r="I8" s="3"/>
      <c r="J8" s="69"/>
      <c r="K8" s="69"/>
      <c r="L8" s="69"/>
    </row>
    <row r="9" spans="1:12" ht="54" x14ac:dyDescent="0.3">
      <c r="A9" s="230" t="s">
        <v>48</v>
      </c>
      <c r="B9" s="231" t="s">
        <v>5</v>
      </c>
      <c r="C9" s="231" t="s">
        <v>5</v>
      </c>
      <c r="D9" s="3">
        <f t="shared" ref="D9:D79" si="0">E9+F9</f>
        <v>0</v>
      </c>
      <c r="E9" s="3">
        <f>E8+E10-E20+E101</f>
        <v>0</v>
      </c>
      <c r="F9" s="3">
        <f>F8+F10-F20+F101</f>
        <v>0</v>
      </c>
      <c r="G9" s="3">
        <f>H9+I9</f>
        <v>0</v>
      </c>
      <c r="H9" s="3">
        <f>H8+H10-H20+H101</f>
        <v>0</v>
      </c>
      <c r="I9" s="3">
        <f>I8+I10-I20+I101</f>
        <v>0</v>
      </c>
      <c r="J9" s="69"/>
      <c r="K9" s="69"/>
      <c r="L9" s="69"/>
    </row>
    <row r="10" spans="1:12" ht="18" x14ac:dyDescent="0.3">
      <c r="A10" s="230" t="s">
        <v>49</v>
      </c>
      <c r="B10" s="231" t="s">
        <v>5</v>
      </c>
      <c r="C10" s="231" t="s">
        <v>5</v>
      </c>
      <c r="D10" s="3">
        <f t="shared" si="0"/>
        <v>103088521.76000001</v>
      </c>
      <c r="E10" s="1">
        <f>E14+E16</f>
        <v>103088521.76000001</v>
      </c>
      <c r="F10" s="1">
        <f>F14+F16+F96</f>
        <v>0</v>
      </c>
      <c r="G10" s="3">
        <f>H10+I10</f>
        <v>103088521.76000001</v>
      </c>
      <c r="H10" s="1">
        <f>H14+H16</f>
        <v>103088521.76000001</v>
      </c>
      <c r="I10" s="1">
        <f>I14+I16+I96</f>
        <v>0</v>
      </c>
      <c r="J10" s="34"/>
      <c r="K10" s="34"/>
      <c r="L10" s="34"/>
    </row>
    <row r="11" spans="1:12" ht="18" x14ac:dyDescent="0.3">
      <c r="A11" s="230" t="s">
        <v>6</v>
      </c>
      <c r="B11" s="231"/>
      <c r="C11" s="231"/>
      <c r="D11" s="3"/>
      <c r="E11" s="1"/>
      <c r="F11" s="1"/>
      <c r="G11" s="3"/>
      <c r="H11" s="1"/>
      <c r="I11" s="1"/>
      <c r="J11" s="34"/>
      <c r="K11" s="34"/>
      <c r="L11" s="34"/>
    </row>
    <row r="12" spans="1:12" ht="72" x14ac:dyDescent="0.3">
      <c r="A12" s="367" t="s">
        <v>490</v>
      </c>
      <c r="B12" s="368">
        <v>130</v>
      </c>
      <c r="C12" s="368" t="s">
        <v>5</v>
      </c>
      <c r="D12" s="3">
        <f>D14</f>
        <v>103088521.76000001</v>
      </c>
      <c r="E12" s="1">
        <f>E14</f>
        <v>103088521.76000001</v>
      </c>
      <c r="F12" s="1"/>
      <c r="G12" s="3">
        <f>G14</f>
        <v>103088521.76000001</v>
      </c>
      <c r="H12" s="1">
        <f>H14</f>
        <v>103088521.76000001</v>
      </c>
      <c r="I12" s="1"/>
      <c r="J12" s="34"/>
      <c r="K12" s="34"/>
      <c r="L12" s="34"/>
    </row>
    <row r="13" spans="1:12" ht="18" x14ac:dyDescent="0.3">
      <c r="A13" s="367" t="s">
        <v>9</v>
      </c>
      <c r="B13" s="368"/>
      <c r="C13" s="368"/>
      <c r="D13" s="3"/>
      <c r="E13" s="1"/>
      <c r="F13" s="1"/>
      <c r="G13" s="3"/>
      <c r="H13" s="1"/>
      <c r="I13" s="1"/>
      <c r="J13" s="34"/>
      <c r="K13" s="34"/>
      <c r="L13" s="34"/>
    </row>
    <row r="14" spans="1:12" ht="108" x14ac:dyDescent="0.3">
      <c r="A14" s="367" t="s">
        <v>69</v>
      </c>
      <c r="B14" s="368">
        <v>131</v>
      </c>
      <c r="C14" s="231" t="s">
        <v>5</v>
      </c>
      <c r="D14" s="3">
        <f t="shared" si="0"/>
        <v>103088521.76000001</v>
      </c>
      <c r="E14" s="1">
        <v>103088521.76000001</v>
      </c>
      <c r="F14" s="1"/>
      <c r="G14" s="3">
        <f>H14+I14</f>
        <v>103088521.76000001</v>
      </c>
      <c r="H14" s="1">
        <v>103088521.76000001</v>
      </c>
      <c r="I14" s="1"/>
      <c r="J14" s="34"/>
      <c r="K14" s="34"/>
      <c r="L14" s="34"/>
    </row>
    <row r="15" spans="1:12" ht="72" x14ac:dyDescent="0.3">
      <c r="A15" s="367" t="s">
        <v>491</v>
      </c>
      <c r="B15" s="368">
        <v>139</v>
      </c>
      <c r="C15" s="368" t="s">
        <v>5</v>
      </c>
      <c r="D15" s="3"/>
      <c r="E15" s="1"/>
      <c r="F15" s="1"/>
      <c r="G15" s="3"/>
      <c r="H15" s="1"/>
      <c r="I15" s="1"/>
      <c r="J15" s="34"/>
      <c r="K15" s="34"/>
      <c r="L15" s="34"/>
    </row>
    <row r="16" spans="1:12" ht="36" x14ac:dyDescent="0.3">
      <c r="A16" s="230" t="s">
        <v>50</v>
      </c>
      <c r="B16" s="231" t="s">
        <v>5</v>
      </c>
      <c r="C16" s="231" t="s">
        <v>5</v>
      </c>
      <c r="D16" s="3">
        <f t="shared" si="0"/>
        <v>0</v>
      </c>
      <c r="E16" s="1">
        <f>E18+E19</f>
        <v>0</v>
      </c>
      <c r="F16" s="1">
        <f>F18+F19</f>
        <v>0</v>
      </c>
      <c r="G16" s="3">
        <f>H16+I16</f>
        <v>0</v>
      </c>
      <c r="H16" s="1">
        <f>H18+H19</f>
        <v>0</v>
      </c>
      <c r="I16" s="1">
        <f>I18+I19</f>
        <v>0</v>
      </c>
      <c r="J16" s="34"/>
      <c r="K16" s="34"/>
      <c r="L16" s="34"/>
    </row>
    <row r="17" spans="1:12" ht="18" x14ac:dyDescent="0.3">
      <c r="A17" s="230" t="s">
        <v>9</v>
      </c>
      <c r="B17" s="231"/>
      <c r="C17" s="231"/>
      <c r="D17" s="3"/>
      <c r="E17" s="1"/>
      <c r="F17" s="1"/>
      <c r="G17" s="3"/>
      <c r="H17" s="1"/>
      <c r="I17" s="1"/>
      <c r="J17" s="34"/>
      <c r="K17" s="34"/>
      <c r="L17" s="34"/>
    </row>
    <row r="18" spans="1:12" ht="115.2" customHeight="1" x14ac:dyDescent="0.3">
      <c r="A18" s="230" t="s">
        <v>70</v>
      </c>
      <c r="B18" s="231">
        <v>510</v>
      </c>
      <c r="C18" s="231" t="s">
        <v>5</v>
      </c>
      <c r="D18" s="3">
        <f t="shared" si="0"/>
        <v>0</v>
      </c>
      <c r="E18" s="1"/>
      <c r="F18" s="1"/>
      <c r="G18" s="3">
        <f>H18+I18</f>
        <v>0</v>
      </c>
      <c r="H18" s="1"/>
      <c r="I18" s="1"/>
      <c r="J18" s="34"/>
      <c r="K18" s="34"/>
      <c r="L18" s="34"/>
    </row>
    <row r="19" spans="1:12" ht="133.19999999999999" customHeight="1" x14ac:dyDescent="0.3">
      <c r="A19" s="230" t="s">
        <v>266</v>
      </c>
      <c r="B19" s="231">
        <v>510</v>
      </c>
      <c r="C19" s="231" t="s">
        <v>5</v>
      </c>
      <c r="D19" s="3">
        <f t="shared" si="0"/>
        <v>0</v>
      </c>
      <c r="E19" s="1"/>
      <c r="F19" s="1"/>
      <c r="G19" s="3">
        <f>H19+I19</f>
        <v>0</v>
      </c>
      <c r="H19" s="1"/>
      <c r="I19" s="1"/>
      <c r="J19" s="34"/>
      <c r="K19" s="34"/>
      <c r="L19" s="34"/>
    </row>
    <row r="20" spans="1:12" ht="18" x14ac:dyDescent="0.3">
      <c r="A20" s="230" t="s">
        <v>7</v>
      </c>
      <c r="B20" s="231" t="s">
        <v>5</v>
      </c>
      <c r="C20" s="231">
        <v>900</v>
      </c>
      <c r="D20" s="3">
        <f t="shared" si="0"/>
        <v>103088521.76000001</v>
      </c>
      <c r="E20" s="1">
        <f>E22+E87</f>
        <v>103088521.76000001</v>
      </c>
      <c r="F20" s="1">
        <f>F22+F87</f>
        <v>0</v>
      </c>
      <c r="G20" s="3">
        <f>H20+I20</f>
        <v>103088521.76000001</v>
      </c>
      <c r="H20" s="1">
        <f>H22+H87</f>
        <v>103088521.76000001</v>
      </c>
      <c r="I20" s="1">
        <f>I22+I87</f>
        <v>0</v>
      </c>
      <c r="J20" s="34"/>
      <c r="K20" s="34"/>
      <c r="L20" s="34"/>
    </row>
    <row r="21" spans="1:12" ht="18" x14ac:dyDescent="0.3">
      <c r="A21" s="230" t="s">
        <v>6</v>
      </c>
      <c r="B21" s="231"/>
      <c r="C21" s="231"/>
      <c r="D21" s="3"/>
      <c r="E21" s="1"/>
      <c r="F21" s="1"/>
      <c r="G21" s="3"/>
      <c r="H21" s="1"/>
      <c r="I21" s="1"/>
      <c r="J21" s="34"/>
      <c r="K21" s="34"/>
      <c r="L21" s="34"/>
    </row>
    <row r="22" spans="1:12" ht="18" x14ac:dyDescent="0.3">
      <c r="A22" s="230" t="s">
        <v>8</v>
      </c>
      <c r="B22" s="231" t="s">
        <v>5</v>
      </c>
      <c r="C22" s="231">
        <v>200</v>
      </c>
      <c r="D22" s="3">
        <f t="shared" si="0"/>
        <v>102696571.76000001</v>
      </c>
      <c r="E22" s="1">
        <f>E24+E32+E60+E66</f>
        <v>102696571.76000001</v>
      </c>
      <c r="F22" s="1">
        <f>F24+F32+F60+F66</f>
        <v>0</v>
      </c>
      <c r="G22" s="3">
        <f>H22+I22</f>
        <v>102696571.76000001</v>
      </c>
      <c r="H22" s="1">
        <f>H24+H32+H60+H66</f>
        <v>102696571.76000001</v>
      </c>
      <c r="I22" s="1">
        <f>I24+I32+I60+I66</f>
        <v>0</v>
      </c>
      <c r="J22" s="34"/>
      <c r="K22" s="34"/>
      <c r="L22" s="34"/>
    </row>
    <row r="23" spans="1:12" ht="14.4" customHeight="1" x14ac:dyDescent="0.3">
      <c r="A23" s="230" t="s">
        <v>9</v>
      </c>
      <c r="B23" s="231"/>
      <c r="C23" s="231"/>
      <c r="D23" s="3"/>
      <c r="E23" s="1"/>
      <c r="F23" s="1"/>
      <c r="G23" s="3"/>
      <c r="H23" s="1"/>
      <c r="I23" s="1"/>
      <c r="J23" s="34"/>
      <c r="K23" s="34"/>
      <c r="L23" s="34"/>
    </row>
    <row r="24" spans="1:12" ht="58.2" customHeight="1" x14ac:dyDescent="0.3">
      <c r="A24" s="230" t="s">
        <v>10</v>
      </c>
      <c r="B24" s="231" t="s">
        <v>5</v>
      </c>
      <c r="C24" s="231">
        <v>210</v>
      </c>
      <c r="D24" s="3">
        <f t="shared" si="0"/>
        <v>96964640.840000004</v>
      </c>
      <c r="E24" s="1">
        <f>E26+E27+E28+E29</f>
        <v>96964640.840000004</v>
      </c>
      <c r="F24" s="1">
        <f>F26+F27+F28+F29</f>
        <v>0</v>
      </c>
      <c r="G24" s="3">
        <f>H24+I24</f>
        <v>96964640.840000004</v>
      </c>
      <c r="H24" s="1">
        <f>H26+H27+H28+H29</f>
        <v>96964640.840000004</v>
      </c>
      <c r="I24" s="1">
        <f>I26+I27+I28+I29</f>
        <v>0</v>
      </c>
      <c r="J24" s="34"/>
      <c r="K24" s="34"/>
      <c r="L24" s="34"/>
    </row>
    <row r="25" spans="1:12" ht="18" x14ac:dyDescent="0.3">
      <c r="A25" s="230" t="s">
        <v>9</v>
      </c>
      <c r="B25" s="231"/>
      <c r="C25" s="231"/>
      <c r="D25" s="3"/>
      <c r="E25" s="1"/>
      <c r="F25" s="1"/>
      <c r="G25" s="3"/>
      <c r="H25" s="1"/>
      <c r="I25" s="1"/>
      <c r="J25" s="34"/>
      <c r="K25" s="34"/>
      <c r="L25" s="34"/>
    </row>
    <row r="26" spans="1:12" ht="18" x14ac:dyDescent="0.3">
      <c r="A26" s="230" t="s">
        <v>11</v>
      </c>
      <c r="B26" s="231">
        <v>111</v>
      </c>
      <c r="C26" s="231">
        <v>211</v>
      </c>
      <c r="D26" s="3">
        <f t="shared" si="0"/>
        <v>74470538.280000001</v>
      </c>
      <c r="E26" s="1">
        <v>74470538.280000001</v>
      </c>
      <c r="F26" s="1"/>
      <c r="G26" s="3">
        <f>H26+I26</f>
        <v>74470538.280000001</v>
      </c>
      <c r="H26" s="1">
        <v>74470538.280000001</v>
      </c>
      <c r="I26" s="1"/>
      <c r="J26" s="34"/>
      <c r="K26" s="34"/>
      <c r="L26" s="34"/>
    </row>
    <row r="27" spans="1:12" ht="57.6" customHeight="1" x14ac:dyDescent="0.3">
      <c r="A27" s="230" t="s">
        <v>12</v>
      </c>
      <c r="B27" s="231">
        <v>112</v>
      </c>
      <c r="C27" s="231">
        <v>212</v>
      </c>
      <c r="D27" s="3">
        <f t="shared" si="0"/>
        <v>4000</v>
      </c>
      <c r="E27" s="1">
        <v>4000</v>
      </c>
      <c r="F27" s="1"/>
      <c r="G27" s="3">
        <f>H27+I27</f>
        <v>4000</v>
      </c>
      <c r="H27" s="1">
        <v>4000</v>
      </c>
      <c r="I27" s="1"/>
      <c r="J27" s="34"/>
      <c r="K27" s="34"/>
      <c r="L27" s="34"/>
    </row>
    <row r="28" spans="1:12" ht="37.950000000000003" customHeight="1" x14ac:dyDescent="0.3">
      <c r="A28" s="230" t="s">
        <v>13</v>
      </c>
      <c r="B28" s="231">
        <v>119</v>
      </c>
      <c r="C28" s="231">
        <v>213</v>
      </c>
      <c r="D28" s="3">
        <f t="shared" si="0"/>
        <v>22490102.559999999</v>
      </c>
      <c r="E28" s="1">
        <v>22490102.559999999</v>
      </c>
      <c r="F28" s="1"/>
      <c r="G28" s="3">
        <f>H28+I28</f>
        <v>22490102.559999999</v>
      </c>
      <c r="H28" s="1">
        <v>22490102.559999999</v>
      </c>
      <c r="I28" s="1"/>
      <c r="J28" s="34"/>
      <c r="K28" s="34"/>
      <c r="L28" s="34"/>
    </row>
    <row r="29" spans="1:12" ht="57.6" customHeight="1" x14ac:dyDescent="0.3">
      <c r="A29" s="230" t="s">
        <v>200</v>
      </c>
      <c r="B29" s="231" t="s">
        <v>5</v>
      </c>
      <c r="C29" s="231">
        <v>214</v>
      </c>
      <c r="D29" s="3">
        <f>E29+F29</f>
        <v>0</v>
      </c>
      <c r="E29" s="1">
        <f>E30+E31</f>
        <v>0</v>
      </c>
      <c r="F29" s="1">
        <f>F30+F31</f>
        <v>0</v>
      </c>
      <c r="G29" s="3">
        <f>H29+I29</f>
        <v>0</v>
      </c>
      <c r="H29" s="1">
        <f>H30+H31</f>
        <v>0</v>
      </c>
      <c r="I29" s="1">
        <f>I30+I31</f>
        <v>0</v>
      </c>
      <c r="J29" s="34"/>
      <c r="K29" s="34"/>
      <c r="L29" s="34"/>
    </row>
    <row r="30" spans="1:12" ht="18" x14ac:dyDescent="0.3">
      <c r="A30" s="411" t="s">
        <v>6</v>
      </c>
      <c r="B30" s="231">
        <v>112</v>
      </c>
      <c r="C30" s="231">
        <v>214</v>
      </c>
      <c r="D30" s="3">
        <f t="shared" si="0"/>
        <v>0</v>
      </c>
      <c r="E30" s="1"/>
      <c r="F30" s="1"/>
      <c r="G30" s="3">
        <f>H30+I30</f>
        <v>0</v>
      </c>
      <c r="H30" s="1"/>
      <c r="I30" s="1"/>
      <c r="J30" s="34"/>
      <c r="K30" s="34"/>
      <c r="L30" s="34"/>
    </row>
    <row r="31" spans="1:12" ht="22.2" customHeight="1" x14ac:dyDescent="0.3">
      <c r="A31" s="411"/>
      <c r="B31" s="231">
        <v>244</v>
      </c>
      <c r="C31" s="231">
        <v>214</v>
      </c>
      <c r="D31" s="3">
        <v>0</v>
      </c>
      <c r="E31" s="1"/>
      <c r="F31" s="1"/>
      <c r="G31" s="3">
        <v>0</v>
      </c>
      <c r="H31" s="1"/>
      <c r="I31" s="1"/>
      <c r="J31" s="34"/>
      <c r="K31" s="34"/>
      <c r="L31" s="34"/>
    </row>
    <row r="32" spans="1:12" ht="36" x14ac:dyDescent="0.3">
      <c r="A32" s="230" t="s">
        <v>14</v>
      </c>
      <c r="B32" s="231" t="s">
        <v>5</v>
      </c>
      <c r="C32" s="231">
        <v>220</v>
      </c>
      <c r="D32" s="3">
        <f t="shared" si="0"/>
        <v>5303941.8999999994</v>
      </c>
      <c r="E32" s="1">
        <f>E34+E35+E38+E48+E49+E52+E58</f>
        <v>5303941.8999999994</v>
      </c>
      <c r="F32" s="1">
        <f>F34+F35+F38+F48+F49+F52+F58</f>
        <v>0</v>
      </c>
      <c r="G32" s="3">
        <f>H32+I32</f>
        <v>5303941.8999999994</v>
      </c>
      <c r="H32" s="1">
        <f>H34+H35+H38+H48+H49+H52+H58</f>
        <v>5303941.8999999994</v>
      </c>
      <c r="I32" s="1">
        <f>I34+I35+I38+I48+I49+I52+I58</f>
        <v>0</v>
      </c>
      <c r="J32" s="34"/>
      <c r="K32" s="34"/>
      <c r="L32" s="34"/>
    </row>
    <row r="33" spans="1:12" ht="18" x14ac:dyDescent="0.3">
      <c r="A33" s="230" t="s">
        <v>9</v>
      </c>
      <c r="B33" s="231"/>
      <c r="C33" s="231"/>
      <c r="D33" s="3"/>
      <c r="E33" s="1"/>
      <c r="F33" s="1"/>
      <c r="G33" s="3"/>
      <c r="H33" s="1"/>
      <c r="I33" s="1"/>
      <c r="J33" s="34"/>
      <c r="K33" s="34"/>
      <c r="L33" s="34"/>
    </row>
    <row r="34" spans="1:12" ht="18" x14ac:dyDescent="0.3">
      <c r="A34" s="230" t="s">
        <v>15</v>
      </c>
      <c r="B34" s="231">
        <v>244</v>
      </c>
      <c r="C34" s="231">
        <v>221</v>
      </c>
      <c r="D34" s="3">
        <f t="shared" si="0"/>
        <v>90630</v>
      </c>
      <c r="E34" s="1">
        <v>90630</v>
      </c>
      <c r="F34" s="1"/>
      <c r="G34" s="3">
        <f>H34+I34</f>
        <v>90630</v>
      </c>
      <c r="H34" s="1">
        <v>90630</v>
      </c>
      <c r="I34" s="1"/>
      <c r="J34" s="34"/>
      <c r="K34" s="34"/>
      <c r="L34" s="34"/>
    </row>
    <row r="35" spans="1:12" ht="36" x14ac:dyDescent="0.3">
      <c r="A35" s="230" t="s">
        <v>16</v>
      </c>
      <c r="B35" s="231" t="s">
        <v>5</v>
      </c>
      <c r="C35" s="231">
        <v>222</v>
      </c>
      <c r="D35" s="3">
        <f t="shared" si="0"/>
        <v>0</v>
      </c>
      <c r="E35" s="1">
        <f>E36+E37</f>
        <v>0</v>
      </c>
      <c r="F35" s="1">
        <f>F36+F37</f>
        <v>0</v>
      </c>
      <c r="G35" s="3">
        <f>H35+I35</f>
        <v>0</v>
      </c>
      <c r="H35" s="1">
        <f>H36+H37</f>
        <v>0</v>
      </c>
      <c r="I35" s="1">
        <f>I36+I37</f>
        <v>0</v>
      </c>
      <c r="J35" s="34"/>
      <c r="K35" s="34"/>
      <c r="L35" s="34"/>
    </row>
    <row r="36" spans="1:12" ht="22.95" customHeight="1" x14ac:dyDescent="0.3">
      <c r="A36" s="407" t="s">
        <v>6</v>
      </c>
      <c r="B36" s="231">
        <v>112</v>
      </c>
      <c r="C36" s="231">
        <v>222</v>
      </c>
      <c r="D36" s="3">
        <f t="shared" si="0"/>
        <v>0</v>
      </c>
      <c r="E36" s="1"/>
      <c r="F36" s="1"/>
      <c r="G36" s="3">
        <f>H36+I36</f>
        <v>0</v>
      </c>
      <c r="H36" s="1"/>
      <c r="I36" s="1"/>
      <c r="J36" s="34"/>
      <c r="K36" s="34"/>
      <c r="L36" s="34"/>
    </row>
    <row r="37" spans="1:12" ht="18" x14ac:dyDescent="0.3">
      <c r="A37" s="407"/>
      <c r="B37" s="231">
        <v>244</v>
      </c>
      <c r="C37" s="231">
        <v>222</v>
      </c>
      <c r="D37" s="3">
        <f t="shared" si="0"/>
        <v>0</v>
      </c>
      <c r="E37" s="1"/>
      <c r="F37" s="1"/>
      <c r="G37" s="3">
        <f>H37+I37</f>
        <v>0</v>
      </c>
      <c r="H37" s="1"/>
      <c r="I37" s="1"/>
      <c r="J37" s="34"/>
      <c r="K37" s="34"/>
      <c r="L37" s="34"/>
    </row>
    <row r="38" spans="1:12" ht="25.2" customHeight="1" x14ac:dyDescent="0.3">
      <c r="A38" s="230" t="s">
        <v>17</v>
      </c>
      <c r="B38" s="231" t="s">
        <v>5</v>
      </c>
      <c r="C38" s="231">
        <v>223</v>
      </c>
      <c r="D38" s="3">
        <f t="shared" si="0"/>
        <v>3296536.8299999996</v>
      </c>
      <c r="E38" s="1">
        <f>E43+E44+E45+E46+E47</f>
        <v>3296536.8299999996</v>
      </c>
      <c r="F38" s="1">
        <f>F43+F44+F45+F46+F47</f>
        <v>0</v>
      </c>
      <c r="G38" s="3">
        <f>H38+I38</f>
        <v>3296536.8299999996</v>
      </c>
      <c r="H38" s="1">
        <f>H43+H44+H45+H46+H47</f>
        <v>3296536.8299999996</v>
      </c>
      <c r="I38" s="1">
        <f>I43+I44+I45+I46+I47</f>
        <v>0</v>
      </c>
      <c r="J38" s="34"/>
      <c r="K38" s="34"/>
      <c r="L38" s="34"/>
    </row>
    <row r="39" spans="1:12" ht="18" x14ac:dyDescent="0.3">
      <c r="A39" s="230" t="s">
        <v>6</v>
      </c>
      <c r="B39" s="231"/>
      <c r="C39" s="231"/>
      <c r="D39" s="3"/>
      <c r="E39" s="1"/>
      <c r="F39" s="1"/>
      <c r="G39" s="3"/>
      <c r="H39" s="1"/>
      <c r="I39" s="1"/>
      <c r="J39" s="34"/>
      <c r="K39" s="34"/>
      <c r="L39" s="34"/>
    </row>
    <row r="40" spans="1:12" ht="40.5" customHeight="1" x14ac:dyDescent="0.3">
      <c r="A40" s="261" t="s">
        <v>18</v>
      </c>
      <c r="B40" s="262">
        <v>244</v>
      </c>
      <c r="C40" s="262">
        <v>223</v>
      </c>
      <c r="D40" s="3"/>
      <c r="E40" s="1"/>
      <c r="F40" s="1"/>
      <c r="G40" s="3"/>
      <c r="H40" s="1"/>
      <c r="I40" s="1"/>
      <c r="J40" s="34"/>
      <c r="K40" s="34"/>
      <c r="L40" s="34"/>
    </row>
    <row r="41" spans="1:12" ht="36" x14ac:dyDescent="0.3">
      <c r="A41" s="316" t="s">
        <v>19</v>
      </c>
      <c r="B41" s="317">
        <v>244</v>
      </c>
      <c r="C41" s="317">
        <v>223</v>
      </c>
      <c r="D41" s="3"/>
      <c r="E41" s="1"/>
      <c r="F41" s="1"/>
      <c r="G41" s="3"/>
      <c r="H41" s="1"/>
      <c r="I41" s="1"/>
      <c r="J41" s="34"/>
      <c r="K41" s="34"/>
      <c r="L41" s="34"/>
    </row>
    <row r="42" spans="1:12" ht="42.75" customHeight="1" x14ac:dyDescent="0.3">
      <c r="A42" s="316" t="s">
        <v>20</v>
      </c>
      <c r="B42" s="317">
        <v>244</v>
      </c>
      <c r="C42" s="317">
        <v>223</v>
      </c>
      <c r="D42" s="3"/>
      <c r="E42" s="1"/>
      <c r="F42" s="1"/>
      <c r="G42" s="3"/>
      <c r="H42" s="1"/>
      <c r="I42" s="1"/>
      <c r="J42" s="34"/>
      <c r="K42" s="34"/>
      <c r="L42" s="34"/>
    </row>
    <row r="43" spans="1:12" ht="39.6" customHeight="1" x14ac:dyDescent="0.3">
      <c r="A43" s="230" t="s">
        <v>18</v>
      </c>
      <c r="B43" s="231">
        <v>247</v>
      </c>
      <c r="C43" s="231">
        <v>223</v>
      </c>
      <c r="D43" s="3">
        <f t="shared" si="0"/>
        <v>2266736.38</v>
      </c>
      <c r="E43" s="1">
        <v>2266736.38</v>
      </c>
      <c r="F43" s="1"/>
      <c r="G43" s="3">
        <f t="shared" ref="G43:G48" si="1">H43+I43</f>
        <v>2266736.38</v>
      </c>
      <c r="H43" s="1">
        <v>2266736.38</v>
      </c>
      <c r="I43" s="1"/>
      <c r="J43" s="34"/>
      <c r="K43" s="34"/>
      <c r="L43" s="34"/>
    </row>
    <row r="44" spans="1:12" ht="36" x14ac:dyDescent="0.3">
      <c r="A44" s="230" t="s">
        <v>19</v>
      </c>
      <c r="B44" s="231">
        <v>247</v>
      </c>
      <c r="C44" s="231">
        <v>223</v>
      </c>
      <c r="D44" s="3">
        <f t="shared" si="0"/>
        <v>0</v>
      </c>
      <c r="E44" s="1">
        <v>0</v>
      </c>
      <c r="F44" s="1"/>
      <c r="G44" s="3">
        <f t="shared" si="1"/>
        <v>0</v>
      </c>
      <c r="H44" s="1">
        <v>0</v>
      </c>
      <c r="I44" s="1"/>
      <c r="J44" s="34"/>
      <c r="K44" s="34"/>
      <c r="L44" s="34"/>
    </row>
    <row r="45" spans="1:12" ht="42" customHeight="1" x14ac:dyDescent="0.3">
      <c r="A45" s="230" t="s">
        <v>20</v>
      </c>
      <c r="B45" s="231">
        <v>247</v>
      </c>
      <c r="C45" s="231">
        <v>223</v>
      </c>
      <c r="D45" s="3">
        <f t="shared" si="0"/>
        <v>593608.81000000006</v>
      </c>
      <c r="E45" s="1">
        <v>593608.81000000006</v>
      </c>
      <c r="F45" s="1"/>
      <c r="G45" s="3">
        <f t="shared" si="1"/>
        <v>593608.81000000006</v>
      </c>
      <c r="H45" s="1">
        <v>593608.81000000006</v>
      </c>
      <c r="I45" s="1"/>
      <c r="J45" s="34"/>
      <c r="K45" s="34"/>
      <c r="L45" s="34"/>
    </row>
    <row r="46" spans="1:12" ht="57.6" customHeight="1" x14ac:dyDescent="0.3">
      <c r="A46" s="230" t="s">
        <v>21</v>
      </c>
      <c r="B46" s="231">
        <v>244</v>
      </c>
      <c r="C46" s="231">
        <v>223</v>
      </c>
      <c r="D46" s="3">
        <f t="shared" si="0"/>
        <v>300673.09000000003</v>
      </c>
      <c r="E46" s="1">
        <v>300673.09000000003</v>
      </c>
      <c r="F46" s="1"/>
      <c r="G46" s="3">
        <f t="shared" si="1"/>
        <v>300673.09000000003</v>
      </c>
      <c r="H46" s="1">
        <v>300673.09000000003</v>
      </c>
      <c r="I46" s="1"/>
      <c r="J46" s="34"/>
      <c r="K46" s="34"/>
      <c r="L46" s="34"/>
    </row>
    <row r="47" spans="1:12" ht="60" customHeight="1" x14ac:dyDescent="0.3">
      <c r="A47" s="230" t="s">
        <v>22</v>
      </c>
      <c r="B47" s="231">
        <v>244</v>
      </c>
      <c r="C47" s="231">
        <v>223</v>
      </c>
      <c r="D47" s="3">
        <f t="shared" si="0"/>
        <v>135518.54999999999</v>
      </c>
      <c r="E47" s="1">
        <v>135518.54999999999</v>
      </c>
      <c r="F47" s="1"/>
      <c r="G47" s="3">
        <f t="shared" si="1"/>
        <v>135518.54999999999</v>
      </c>
      <c r="H47" s="1">
        <v>135518.54999999999</v>
      </c>
      <c r="I47" s="1"/>
      <c r="J47" s="34"/>
      <c r="K47" s="34"/>
      <c r="L47" s="34"/>
    </row>
    <row r="48" spans="1:12" ht="133.19999999999999" customHeight="1" x14ac:dyDescent="0.3">
      <c r="A48" s="230" t="s">
        <v>23</v>
      </c>
      <c r="B48" s="231">
        <v>244</v>
      </c>
      <c r="C48" s="231">
        <v>224</v>
      </c>
      <c r="D48" s="3">
        <f t="shared" si="0"/>
        <v>0</v>
      </c>
      <c r="E48" s="1"/>
      <c r="F48" s="1"/>
      <c r="G48" s="3">
        <f t="shared" si="1"/>
        <v>0</v>
      </c>
      <c r="H48" s="1"/>
      <c r="I48" s="1"/>
      <c r="J48" s="34"/>
      <c r="K48" s="34"/>
      <c r="L48" s="34"/>
    </row>
    <row r="49" spans="1:12" ht="37.200000000000003" customHeight="1" x14ac:dyDescent="0.3">
      <c r="A49" s="230" t="s">
        <v>24</v>
      </c>
      <c r="B49" s="231" t="s">
        <v>5</v>
      </c>
      <c r="C49" s="231">
        <v>225</v>
      </c>
      <c r="D49" s="1">
        <f t="shared" ref="D49:I49" si="2">D50+D51</f>
        <v>173786.67</v>
      </c>
      <c r="E49" s="1">
        <f t="shared" si="2"/>
        <v>173786.67</v>
      </c>
      <c r="F49" s="1">
        <f t="shared" si="2"/>
        <v>0</v>
      </c>
      <c r="G49" s="1">
        <f t="shared" si="2"/>
        <v>173786.67</v>
      </c>
      <c r="H49" s="1">
        <f t="shared" si="2"/>
        <v>173786.67</v>
      </c>
      <c r="I49" s="1">
        <f t="shared" si="2"/>
        <v>0</v>
      </c>
      <c r="J49" s="34"/>
      <c r="K49" s="34"/>
      <c r="L49" s="34"/>
    </row>
    <row r="50" spans="1:12" ht="18" x14ac:dyDescent="0.3">
      <c r="A50" s="407" t="s">
        <v>6</v>
      </c>
      <c r="B50" s="231">
        <v>243</v>
      </c>
      <c r="C50" s="231">
        <v>225</v>
      </c>
      <c r="D50" s="3">
        <f t="shared" si="0"/>
        <v>0</v>
      </c>
      <c r="E50" s="1"/>
      <c r="F50" s="1"/>
      <c r="G50" s="3">
        <f t="shared" ref="G50:G87" si="3">H50+I50</f>
        <v>0</v>
      </c>
      <c r="H50" s="1"/>
      <c r="I50" s="1"/>
      <c r="J50" s="34"/>
      <c r="K50" s="34"/>
      <c r="L50" s="34"/>
    </row>
    <row r="51" spans="1:12" ht="18" x14ac:dyDescent="0.3">
      <c r="A51" s="407"/>
      <c r="B51" s="231">
        <v>244</v>
      </c>
      <c r="C51" s="231">
        <v>225</v>
      </c>
      <c r="D51" s="3">
        <f t="shared" si="0"/>
        <v>173786.67</v>
      </c>
      <c r="E51" s="1">
        <v>173786.67</v>
      </c>
      <c r="F51" s="1"/>
      <c r="G51" s="3">
        <f t="shared" si="3"/>
        <v>173786.67</v>
      </c>
      <c r="H51" s="1">
        <v>173786.67</v>
      </c>
      <c r="I51" s="1"/>
      <c r="J51" s="34"/>
      <c r="K51" s="34"/>
      <c r="L51" s="34"/>
    </row>
    <row r="52" spans="1:12" ht="24.6" customHeight="1" x14ac:dyDescent="0.3">
      <c r="A52" s="230" t="s">
        <v>58</v>
      </c>
      <c r="B52" s="231" t="s">
        <v>5</v>
      </c>
      <c r="C52" s="231">
        <v>226</v>
      </c>
      <c r="D52" s="3">
        <f t="shared" si="0"/>
        <v>1727988.4</v>
      </c>
      <c r="E52" s="1">
        <f>E53+E54+E56+E57+E55</f>
        <v>1727988.4</v>
      </c>
      <c r="F52" s="1">
        <f>F53+F54+F56+F57+F55</f>
        <v>0</v>
      </c>
      <c r="G52" s="3">
        <f t="shared" si="3"/>
        <v>1727988.4</v>
      </c>
      <c r="H52" s="1">
        <f>H53+H54+H56+H57+H55</f>
        <v>1727988.4</v>
      </c>
      <c r="I52" s="1">
        <f>I53+I54+I56+I57+I55</f>
        <v>0</v>
      </c>
      <c r="J52" s="34"/>
      <c r="K52" s="34"/>
      <c r="L52" s="34"/>
    </row>
    <row r="53" spans="1:12" ht="18" x14ac:dyDescent="0.3">
      <c r="A53" s="407" t="s">
        <v>6</v>
      </c>
      <c r="B53" s="231">
        <v>112</v>
      </c>
      <c r="C53" s="231">
        <v>226</v>
      </c>
      <c r="D53" s="3">
        <f t="shared" si="0"/>
        <v>0</v>
      </c>
      <c r="E53" s="1"/>
      <c r="F53" s="1"/>
      <c r="G53" s="3">
        <f t="shared" si="3"/>
        <v>0</v>
      </c>
      <c r="H53" s="1"/>
      <c r="I53" s="1"/>
      <c r="J53" s="34"/>
      <c r="K53" s="34"/>
      <c r="L53" s="34"/>
    </row>
    <row r="54" spans="1:12" ht="18" x14ac:dyDescent="0.3">
      <c r="A54" s="407"/>
      <c r="B54" s="231">
        <v>113</v>
      </c>
      <c r="C54" s="231">
        <v>226</v>
      </c>
      <c r="D54" s="3">
        <f t="shared" si="0"/>
        <v>0</v>
      </c>
      <c r="E54" s="1"/>
      <c r="F54" s="1"/>
      <c r="G54" s="3">
        <f t="shared" si="3"/>
        <v>0</v>
      </c>
      <c r="H54" s="1"/>
      <c r="I54" s="1"/>
      <c r="J54" s="34"/>
      <c r="K54" s="34"/>
      <c r="L54" s="34"/>
    </row>
    <row r="55" spans="1:12" ht="18" x14ac:dyDescent="0.3">
      <c r="A55" s="407"/>
      <c r="B55" s="231">
        <v>119</v>
      </c>
      <c r="C55" s="231">
        <v>226</v>
      </c>
      <c r="D55" s="3">
        <f t="shared" si="0"/>
        <v>0</v>
      </c>
      <c r="E55" s="1"/>
      <c r="F55" s="1"/>
      <c r="G55" s="3">
        <f t="shared" si="3"/>
        <v>0</v>
      </c>
      <c r="H55" s="1"/>
      <c r="I55" s="1"/>
      <c r="J55" s="34"/>
      <c r="K55" s="34"/>
      <c r="L55" s="34"/>
    </row>
    <row r="56" spans="1:12" ht="18" x14ac:dyDescent="0.3">
      <c r="A56" s="407"/>
      <c r="B56" s="231">
        <v>243</v>
      </c>
      <c r="C56" s="231">
        <v>226</v>
      </c>
      <c r="D56" s="3">
        <f t="shared" si="0"/>
        <v>0</v>
      </c>
      <c r="E56" s="1"/>
      <c r="F56" s="1"/>
      <c r="G56" s="3">
        <f t="shared" si="3"/>
        <v>0</v>
      </c>
      <c r="H56" s="1"/>
      <c r="I56" s="1"/>
      <c r="J56" s="34"/>
      <c r="K56" s="34"/>
      <c r="L56" s="34"/>
    </row>
    <row r="57" spans="1:12" ht="18" x14ac:dyDescent="0.3">
      <c r="A57" s="407"/>
      <c r="B57" s="231">
        <v>244</v>
      </c>
      <c r="C57" s="231">
        <v>226</v>
      </c>
      <c r="D57" s="3">
        <f t="shared" si="0"/>
        <v>1727988.4</v>
      </c>
      <c r="E57" s="1">
        <v>1727988.4</v>
      </c>
      <c r="F57" s="1"/>
      <c r="G57" s="3">
        <f t="shared" si="3"/>
        <v>1727988.4</v>
      </c>
      <c r="H57" s="1">
        <v>1727988.4</v>
      </c>
      <c r="I57" s="1"/>
      <c r="J57" s="34"/>
      <c r="K57" s="34"/>
      <c r="L57" s="34"/>
    </row>
    <row r="58" spans="1:12" ht="18" x14ac:dyDescent="0.3">
      <c r="A58" s="230" t="s">
        <v>25</v>
      </c>
      <c r="B58" s="231">
        <v>244</v>
      </c>
      <c r="C58" s="231">
        <v>227</v>
      </c>
      <c r="D58" s="3">
        <f t="shared" si="0"/>
        <v>15000</v>
      </c>
      <c r="E58" s="1">
        <v>15000</v>
      </c>
      <c r="F58" s="1"/>
      <c r="G58" s="3">
        <f t="shared" si="3"/>
        <v>15000</v>
      </c>
      <c r="H58" s="1">
        <v>15000</v>
      </c>
      <c r="I58" s="1"/>
      <c r="J58" s="34"/>
      <c r="K58" s="34"/>
      <c r="L58" s="34"/>
    </row>
    <row r="59" spans="1:12" ht="54" x14ac:dyDescent="0.3">
      <c r="A59" s="261" t="s">
        <v>445</v>
      </c>
      <c r="B59" s="262">
        <v>244</v>
      </c>
      <c r="C59" s="262">
        <v>228</v>
      </c>
      <c r="D59" s="3">
        <v>0</v>
      </c>
      <c r="E59" s="1">
        <v>0</v>
      </c>
      <c r="F59" s="1"/>
      <c r="G59" s="3">
        <v>0</v>
      </c>
      <c r="H59" s="1">
        <v>0</v>
      </c>
      <c r="I59" s="1"/>
      <c r="J59" s="34"/>
      <c r="K59" s="34"/>
      <c r="L59" s="34"/>
    </row>
    <row r="60" spans="1:12" ht="36" x14ac:dyDescent="0.3">
      <c r="A60" s="230" t="s">
        <v>26</v>
      </c>
      <c r="B60" s="231" t="s">
        <v>5</v>
      </c>
      <c r="C60" s="231">
        <v>260</v>
      </c>
      <c r="D60" s="3">
        <f t="shared" si="0"/>
        <v>110500</v>
      </c>
      <c r="E60" s="1">
        <f>E61+E62+E65</f>
        <v>110500</v>
      </c>
      <c r="F60" s="1">
        <f>F61+F62+F65</f>
        <v>0</v>
      </c>
      <c r="G60" s="3">
        <f t="shared" si="3"/>
        <v>110500</v>
      </c>
      <c r="H60" s="1">
        <f>H61+H62+H65</f>
        <v>110500</v>
      </c>
      <c r="I60" s="1">
        <f>I61+I62+I65</f>
        <v>0</v>
      </c>
      <c r="J60" s="34"/>
      <c r="K60" s="34"/>
      <c r="L60" s="34"/>
    </row>
    <row r="61" spans="1:12" ht="90" x14ac:dyDescent="0.3">
      <c r="A61" s="230" t="s">
        <v>27</v>
      </c>
      <c r="B61" s="231">
        <v>321</v>
      </c>
      <c r="C61" s="231">
        <v>264</v>
      </c>
      <c r="D61" s="3">
        <f t="shared" si="0"/>
        <v>0</v>
      </c>
      <c r="E61" s="1"/>
      <c r="F61" s="1"/>
      <c r="G61" s="3">
        <f t="shared" si="3"/>
        <v>0</v>
      </c>
      <c r="H61" s="1"/>
      <c r="I61" s="1"/>
      <c r="J61" s="34"/>
      <c r="K61" s="34"/>
      <c r="L61" s="34"/>
    </row>
    <row r="62" spans="1:12" ht="75.75" customHeight="1" x14ac:dyDescent="0.3">
      <c r="A62" s="230" t="s">
        <v>28</v>
      </c>
      <c r="B62" s="231" t="s">
        <v>5</v>
      </c>
      <c r="C62" s="231">
        <v>266</v>
      </c>
      <c r="D62" s="3">
        <f t="shared" si="0"/>
        <v>110500</v>
      </c>
      <c r="E62" s="1">
        <f>E63+E64</f>
        <v>110500</v>
      </c>
      <c r="F62" s="1">
        <f>F63+F64</f>
        <v>0</v>
      </c>
      <c r="G62" s="3">
        <f t="shared" si="3"/>
        <v>110500</v>
      </c>
      <c r="H62" s="1">
        <f>H63+H64</f>
        <v>110500</v>
      </c>
      <c r="I62" s="1">
        <f>I63+I64</f>
        <v>0</v>
      </c>
      <c r="J62" s="34"/>
      <c r="K62" s="34"/>
      <c r="L62" s="34"/>
    </row>
    <row r="63" spans="1:12" ht="18" x14ac:dyDescent="0.3">
      <c r="A63" s="407" t="s">
        <v>6</v>
      </c>
      <c r="B63" s="231">
        <v>111</v>
      </c>
      <c r="C63" s="231">
        <v>266</v>
      </c>
      <c r="D63" s="3">
        <f t="shared" si="0"/>
        <v>110500</v>
      </c>
      <c r="E63" s="1">
        <v>110500</v>
      </c>
      <c r="F63" s="1"/>
      <c r="G63" s="3">
        <f t="shared" si="3"/>
        <v>110500</v>
      </c>
      <c r="H63" s="1">
        <v>110500</v>
      </c>
      <c r="I63" s="1"/>
      <c r="J63" s="34"/>
      <c r="K63" s="34"/>
      <c r="L63" s="34"/>
    </row>
    <row r="64" spans="1:12" ht="18" x14ac:dyDescent="0.3">
      <c r="A64" s="407"/>
      <c r="B64" s="231">
        <v>112</v>
      </c>
      <c r="C64" s="231">
        <v>266</v>
      </c>
      <c r="D64" s="3">
        <f t="shared" si="0"/>
        <v>0</v>
      </c>
      <c r="E64" s="1"/>
      <c r="F64" s="1"/>
      <c r="G64" s="3">
        <f t="shared" si="3"/>
        <v>0</v>
      </c>
      <c r="H64" s="1"/>
      <c r="I64" s="1"/>
      <c r="J64" s="34"/>
      <c r="K64" s="34"/>
      <c r="L64" s="34"/>
    </row>
    <row r="65" spans="1:12" ht="57" customHeight="1" x14ac:dyDescent="0.3">
      <c r="A65" s="230" t="s">
        <v>29</v>
      </c>
      <c r="B65" s="231">
        <v>112</v>
      </c>
      <c r="C65" s="231">
        <v>267</v>
      </c>
      <c r="D65" s="3">
        <f t="shared" si="0"/>
        <v>0</v>
      </c>
      <c r="E65" s="1"/>
      <c r="F65" s="1"/>
      <c r="G65" s="3">
        <f t="shared" si="3"/>
        <v>0</v>
      </c>
      <c r="H65" s="1"/>
      <c r="I65" s="1"/>
      <c r="J65" s="34"/>
      <c r="K65" s="34"/>
      <c r="L65" s="34"/>
    </row>
    <row r="66" spans="1:12" ht="23.4" customHeight="1" x14ac:dyDescent="0.3">
      <c r="A66" s="230" t="s">
        <v>30</v>
      </c>
      <c r="B66" s="231" t="s">
        <v>5</v>
      </c>
      <c r="C66" s="231">
        <v>290</v>
      </c>
      <c r="D66" s="3">
        <f t="shared" si="0"/>
        <v>317489.02</v>
      </c>
      <c r="E66" s="1">
        <f>E68+E72+E73+E74+E75+E82</f>
        <v>317489.02</v>
      </c>
      <c r="F66" s="1">
        <f>F68+F72+F73+F74+F75+F82</f>
        <v>0</v>
      </c>
      <c r="G66" s="3">
        <f t="shared" si="3"/>
        <v>317489.02</v>
      </c>
      <c r="H66" s="1">
        <f>H68+H72+H73+H74+H75+H82</f>
        <v>317489.02</v>
      </c>
      <c r="I66" s="1">
        <f>I68+I72+I73+I74+I75+I82</f>
        <v>0</v>
      </c>
      <c r="J66" s="34"/>
      <c r="K66" s="34"/>
      <c r="L66" s="34"/>
    </row>
    <row r="67" spans="1:12" ht="23.4" customHeight="1" x14ac:dyDescent="0.3">
      <c r="A67" s="230" t="s">
        <v>9</v>
      </c>
      <c r="B67" s="231"/>
      <c r="C67" s="231"/>
      <c r="D67" s="3">
        <f t="shared" si="0"/>
        <v>0</v>
      </c>
      <c r="E67" s="1"/>
      <c r="F67" s="1"/>
      <c r="G67" s="3">
        <f t="shared" si="3"/>
        <v>0</v>
      </c>
      <c r="H67" s="1"/>
      <c r="I67" s="1"/>
      <c r="J67" s="34"/>
      <c r="K67" s="34"/>
      <c r="L67" s="34"/>
    </row>
    <row r="68" spans="1:12" ht="37.950000000000003" customHeight="1" x14ac:dyDescent="0.3">
      <c r="A68" s="230" t="s">
        <v>31</v>
      </c>
      <c r="B68" s="231" t="s">
        <v>5</v>
      </c>
      <c r="C68" s="231">
        <v>291</v>
      </c>
      <c r="D68" s="3">
        <f t="shared" si="0"/>
        <v>317489.02</v>
      </c>
      <c r="E68" s="1">
        <f>E69+E70+E71</f>
        <v>317489.02</v>
      </c>
      <c r="F68" s="1">
        <f>F69+F70+F71</f>
        <v>0</v>
      </c>
      <c r="G68" s="3">
        <f t="shared" si="3"/>
        <v>317489.02</v>
      </c>
      <c r="H68" s="1">
        <f>H69+H70+H71</f>
        <v>317489.02</v>
      </c>
      <c r="I68" s="1">
        <f>I69+I70+I71</f>
        <v>0</v>
      </c>
      <c r="J68" s="34"/>
      <c r="K68" s="34"/>
      <c r="L68" s="34"/>
    </row>
    <row r="69" spans="1:12" ht="18" x14ac:dyDescent="0.3">
      <c r="A69" s="407" t="s">
        <v>6</v>
      </c>
      <c r="B69" s="231">
        <v>851</v>
      </c>
      <c r="C69" s="231">
        <v>291</v>
      </c>
      <c r="D69" s="3">
        <f t="shared" si="0"/>
        <v>305529.02</v>
      </c>
      <c r="E69" s="1">
        <v>305529.02</v>
      </c>
      <c r="F69" s="1"/>
      <c r="G69" s="3">
        <f t="shared" si="3"/>
        <v>305529.02</v>
      </c>
      <c r="H69" s="1">
        <v>305529.02</v>
      </c>
      <c r="I69" s="1"/>
      <c r="J69" s="34"/>
      <c r="K69" s="34"/>
      <c r="L69" s="34"/>
    </row>
    <row r="70" spans="1:12" ht="19.2" customHeight="1" x14ac:dyDescent="0.3">
      <c r="A70" s="407"/>
      <c r="B70" s="231">
        <v>852</v>
      </c>
      <c r="C70" s="231">
        <v>291</v>
      </c>
      <c r="D70" s="3">
        <f t="shared" si="0"/>
        <v>11960</v>
      </c>
      <c r="E70" s="1">
        <v>11960</v>
      </c>
      <c r="F70" s="1"/>
      <c r="G70" s="3">
        <f t="shared" si="3"/>
        <v>11960</v>
      </c>
      <c r="H70" s="1">
        <v>11960</v>
      </c>
      <c r="I70" s="1"/>
      <c r="J70" s="34"/>
      <c r="K70" s="34"/>
      <c r="L70" s="34"/>
    </row>
    <row r="71" spans="1:12" ht="18" x14ac:dyDescent="0.3">
      <c r="A71" s="407"/>
      <c r="B71" s="231">
        <v>853</v>
      </c>
      <c r="C71" s="231">
        <v>291</v>
      </c>
      <c r="D71" s="3">
        <f t="shared" si="0"/>
        <v>0</v>
      </c>
      <c r="E71" s="1"/>
      <c r="F71" s="1"/>
      <c r="G71" s="3">
        <f t="shared" si="3"/>
        <v>0</v>
      </c>
      <c r="H71" s="1"/>
      <c r="I71" s="1"/>
      <c r="J71" s="34"/>
      <c r="K71" s="34"/>
      <c r="L71" s="34"/>
    </row>
    <row r="72" spans="1:12" ht="94.95" customHeight="1" x14ac:dyDescent="0.3">
      <c r="A72" s="230" t="s">
        <v>32</v>
      </c>
      <c r="B72" s="231">
        <v>853</v>
      </c>
      <c r="C72" s="231">
        <v>292</v>
      </c>
      <c r="D72" s="3">
        <f t="shared" si="0"/>
        <v>0</v>
      </c>
      <c r="E72" s="1"/>
      <c r="F72" s="1">
        <v>0</v>
      </c>
      <c r="G72" s="3">
        <f t="shared" si="3"/>
        <v>0</v>
      </c>
      <c r="H72" s="1"/>
      <c r="I72" s="1">
        <v>0</v>
      </c>
      <c r="J72" s="34"/>
      <c r="K72" s="34"/>
      <c r="L72" s="34"/>
    </row>
    <row r="73" spans="1:12" ht="101.4" customHeight="1" x14ac:dyDescent="0.3">
      <c r="A73" s="230" t="s">
        <v>33</v>
      </c>
      <c r="B73" s="231">
        <v>853</v>
      </c>
      <c r="C73" s="231">
        <v>293</v>
      </c>
      <c r="D73" s="3">
        <f t="shared" si="0"/>
        <v>0</v>
      </c>
      <c r="E73" s="1"/>
      <c r="F73" s="1">
        <v>0</v>
      </c>
      <c r="G73" s="3">
        <f t="shared" si="3"/>
        <v>0</v>
      </c>
      <c r="H73" s="1"/>
      <c r="I73" s="1">
        <v>0</v>
      </c>
      <c r="J73" s="34"/>
      <c r="K73" s="34"/>
      <c r="L73" s="34"/>
    </row>
    <row r="74" spans="1:12" ht="40.200000000000003" customHeight="1" x14ac:dyDescent="0.3">
      <c r="A74" s="230" t="s">
        <v>157</v>
      </c>
      <c r="B74" s="231">
        <v>853</v>
      </c>
      <c r="C74" s="231">
        <v>295</v>
      </c>
      <c r="D74" s="3">
        <f t="shared" si="0"/>
        <v>0</v>
      </c>
      <c r="E74" s="1"/>
      <c r="F74" s="1">
        <v>0</v>
      </c>
      <c r="G74" s="3">
        <f t="shared" si="3"/>
        <v>0</v>
      </c>
      <c r="H74" s="1"/>
      <c r="I74" s="1">
        <v>0</v>
      </c>
      <c r="J74" s="34"/>
      <c r="K74" s="34"/>
      <c r="L74" s="34"/>
    </row>
    <row r="75" spans="1:12" ht="61.2" customHeight="1" x14ac:dyDescent="0.3">
      <c r="A75" s="230" t="s">
        <v>34</v>
      </c>
      <c r="B75" s="231" t="s">
        <v>5</v>
      </c>
      <c r="C75" s="231">
        <v>296</v>
      </c>
      <c r="D75" s="3">
        <f t="shared" si="0"/>
        <v>0</v>
      </c>
      <c r="E75" s="1">
        <f>E76+E77+E78+E79+E81</f>
        <v>0</v>
      </c>
      <c r="F75" s="1">
        <f>F76+F77+F78+F79+F81</f>
        <v>0</v>
      </c>
      <c r="G75" s="3">
        <f t="shared" si="3"/>
        <v>0</v>
      </c>
      <c r="H75" s="1">
        <f>H76+H77+H78+H79+H81</f>
        <v>0</v>
      </c>
      <c r="I75" s="1">
        <f>I76+I77+I78+I79+I81</f>
        <v>0</v>
      </c>
      <c r="J75" s="34"/>
      <c r="K75" s="34"/>
      <c r="L75" s="34"/>
    </row>
    <row r="76" spans="1:12" ht="21.6" customHeight="1" x14ac:dyDescent="0.3">
      <c r="A76" s="407" t="s">
        <v>6</v>
      </c>
      <c r="B76" s="231">
        <v>244</v>
      </c>
      <c r="C76" s="231">
        <v>296</v>
      </c>
      <c r="D76" s="3">
        <f t="shared" si="0"/>
        <v>0</v>
      </c>
      <c r="E76" s="1"/>
      <c r="F76" s="1"/>
      <c r="G76" s="3">
        <f t="shared" si="3"/>
        <v>0</v>
      </c>
      <c r="H76" s="1"/>
      <c r="I76" s="1"/>
      <c r="J76" s="34"/>
      <c r="K76" s="34"/>
      <c r="L76" s="34"/>
    </row>
    <row r="77" spans="1:12" ht="21.6" customHeight="1" x14ac:dyDescent="0.3">
      <c r="A77" s="407"/>
      <c r="B77" s="231">
        <v>340</v>
      </c>
      <c r="C77" s="231">
        <v>296</v>
      </c>
      <c r="D77" s="3">
        <f t="shared" si="0"/>
        <v>0</v>
      </c>
      <c r="E77" s="1"/>
      <c r="F77" s="1"/>
      <c r="G77" s="3">
        <f t="shared" si="3"/>
        <v>0</v>
      </c>
      <c r="H77" s="1"/>
      <c r="I77" s="1"/>
      <c r="J77" s="34"/>
      <c r="K77" s="34"/>
      <c r="L77" s="34"/>
    </row>
    <row r="78" spans="1:12" ht="21.6" customHeight="1" x14ac:dyDescent="0.3">
      <c r="A78" s="407"/>
      <c r="B78" s="231">
        <v>350</v>
      </c>
      <c r="C78" s="231">
        <v>296</v>
      </c>
      <c r="D78" s="3">
        <f t="shared" si="0"/>
        <v>0</v>
      </c>
      <c r="E78" s="1"/>
      <c r="F78" s="1"/>
      <c r="G78" s="3">
        <f t="shared" si="3"/>
        <v>0</v>
      </c>
      <c r="H78" s="1"/>
      <c r="I78" s="1"/>
      <c r="J78" s="34"/>
      <c r="K78" s="34"/>
      <c r="L78" s="34"/>
    </row>
    <row r="79" spans="1:12" ht="21.6" customHeight="1" x14ac:dyDescent="0.3">
      <c r="A79" s="407"/>
      <c r="B79" s="231">
        <v>360</v>
      </c>
      <c r="C79" s="231">
        <v>296</v>
      </c>
      <c r="D79" s="3">
        <f t="shared" si="0"/>
        <v>0</v>
      </c>
      <c r="E79" s="1"/>
      <c r="F79" s="1"/>
      <c r="G79" s="3">
        <f t="shared" si="3"/>
        <v>0</v>
      </c>
      <c r="H79" s="1"/>
      <c r="I79" s="1"/>
      <c r="J79" s="34"/>
      <c r="K79" s="34"/>
      <c r="L79" s="34"/>
    </row>
    <row r="80" spans="1:12" ht="21.6" customHeight="1" x14ac:dyDescent="0.3">
      <c r="A80" s="407"/>
      <c r="B80" s="368">
        <v>831</v>
      </c>
      <c r="C80" s="368">
        <v>296</v>
      </c>
      <c r="D80" s="3">
        <f>E80</f>
        <v>0</v>
      </c>
      <c r="E80" s="1"/>
      <c r="F80" s="1"/>
      <c r="G80" s="3">
        <f>H80</f>
        <v>0</v>
      </c>
      <c r="H80" s="1"/>
      <c r="I80" s="1"/>
      <c r="J80" s="34"/>
      <c r="K80" s="34"/>
      <c r="L80" s="34"/>
    </row>
    <row r="81" spans="1:12" ht="21.6" customHeight="1" x14ac:dyDescent="0.3">
      <c r="A81" s="407"/>
      <c r="B81" s="231">
        <v>853</v>
      </c>
      <c r="C81" s="231">
        <v>296</v>
      </c>
      <c r="D81" s="3">
        <f t="shared" ref="D81:D105" si="4">E81+F81</f>
        <v>0</v>
      </c>
      <c r="E81" s="1"/>
      <c r="F81" s="1"/>
      <c r="G81" s="3">
        <f t="shared" si="3"/>
        <v>0</v>
      </c>
      <c r="H81" s="1"/>
      <c r="I81" s="1"/>
      <c r="J81" s="34"/>
      <c r="K81" s="34"/>
      <c r="L81" s="34"/>
    </row>
    <row r="82" spans="1:12" ht="57.6" customHeight="1" x14ac:dyDescent="0.3">
      <c r="A82" s="230" t="s">
        <v>35</v>
      </c>
      <c r="B82" s="231" t="s">
        <v>5</v>
      </c>
      <c r="C82" s="231">
        <v>297</v>
      </c>
      <c r="D82" s="3">
        <f t="shared" si="4"/>
        <v>0</v>
      </c>
      <c r="E82" s="1">
        <f>E83+E86</f>
        <v>0</v>
      </c>
      <c r="F82" s="1">
        <f>F83+F86</f>
        <v>0</v>
      </c>
      <c r="G82" s="3">
        <f t="shared" si="3"/>
        <v>0</v>
      </c>
      <c r="H82" s="1">
        <f>H83+H86</f>
        <v>0</v>
      </c>
      <c r="I82" s="1">
        <f>I83+I86</f>
        <v>0</v>
      </c>
      <c r="J82" s="34"/>
      <c r="K82" s="34"/>
      <c r="L82" s="34"/>
    </row>
    <row r="83" spans="1:12" ht="18" x14ac:dyDescent="0.3">
      <c r="A83" s="407" t="s">
        <v>6</v>
      </c>
      <c r="B83" s="231">
        <v>244</v>
      </c>
      <c r="C83" s="231">
        <v>297</v>
      </c>
      <c r="D83" s="3">
        <f t="shared" si="4"/>
        <v>0</v>
      </c>
      <c r="E83" s="1"/>
      <c r="F83" s="1"/>
      <c r="G83" s="3">
        <f t="shared" si="3"/>
        <v>0</v>
      </c>
      <c r="H83" s="1"/>
      <c r="I83" s="1"/>
      <c r="J83" s="34"/>
      <c r="K83" s="34"/>
      <c r="L83" s="34"/>
    </row>
    <row r="84" spans="1:12" ht="18" x14ac:dyDescent="0.3">
      <c r="A84" s="407"/>
      <c r="B84" s="368">
        <v>613</v>
      </c>
      <c r="C84" s="368">
        <v>297</v>
      </c>
      <c r="D84" s="3">
        <f>E84</f>
        <v>0</v>
      </c>
      <c r="E84" s="1"/>
      <c r="F84" s="1"/>
      <c r="G84" s="3">
        <f>H84</f>
        <v>0</v>
      </c>
      <c r="H84" s="1"/>
      <c r="I84" s="1"/>
      <c r="J84" s="34"/>
      <c r="K84" s="34"/>
      <c r="L84" s="34"/>
    </row>
    <row r="85" spans="1:12" ht="18" x14ac:dyDescent="0.3">
      <c r="A85" s="407"/>
      <c r="B85" s="318">
        <v>831</v>
      </c>
      <c r="C85" s="318">
        <v>297</v>
      </c>
      <c r="D85" s="3">
        <f>E85</f>
        <v>0</v>
      </c>
      <c r="E85" s="1"/>
      <c r="F85" s="1"/>
      <c r="G85" s="3">
        <f>H85</f>
        <v>0</v>
      </c>
      <c r="H85" s="1"/>
      <c r="I85" s="1"/>
      <c r="J85" s="34"/>
      <c r="K85" s="34"/>
      <c r="L85" s="34"/>
    </row>
    <row r="86" spans="1:12" ht="18" x14ac:dyDescent="0.3">
      <c r="A86" s="407"/>
      <c r="B86" s="231">
        <v>853</v>
      </c>
      <c r="C86" s="231">
        <v>297</v>
      </c>
      <c r="D86" s="3">
        <f t="shared" si="4"/>
        <v>0</v>
      </c>
      <c r="E86" s="1"/>
      <c r="F86" s="1"/>
      <c r="G86" s="3">
        <f t="shared" si="3"/>
        <v>0</v>
      </c>
      <c r="H86" s="1"/>
      <c r="I86" s="1"/>
      <c r="J86" s="34"/>
      <c r="K86" s="34"/>
      <c r="L86" s="34"/>
    </row>
    <row r="87" spans="1:12" ht="59.4" customHeight="1" x14ac:dyDescent="0.3">
      <c r="A87" s="230" t="s">
        <v>59</v>
      </c>
      <c r="B87" s="231" t="s">
        <v>5</v>
      </c>
      <c r="C87" s="231">
        <v>300</v>
      </c>
      <c r="D87" s="3">
        <f t="shared" si="4"/>
        <v>391950</v>
      </c>
      <c r="E87" s="1">
        <f>E89+E91+E90</f>
        <v>391950</v>
      </c>
      <c r="F87" s="1">
        <f>F89+F91+F90</f>
        <v>0</v>
      </c>
      <c r="G87" s="3">
        <f t="shared" si="3"/>
        <v>391950</v>
      </c>
      <c r="H87" s="1">
        <f>H89+H91+H90</f>
        <v>391950</v>
      </c>
      <c r="I87" s="1">
        <f>I89+I91+I90</f>
        <v>0</v>
      </c>
      <c r="J87" s="34"/>
      <c r="K87" s="34"/>
      <c r="L87" s="34"/>
    </row>
    <row r="88" spans="1:12" ht="24" customHeight="1" x14ac:dyDescent="0.3">
      <c r="A88" s="230" t="s">
        <v>9</v>
      </c>
      <c r="B88" s="231"/>
      <c r="C88" s="231"/>
      <c r="D88" s="3"/>
      <c r="E88" s="1"/>
      <c r="F88" s="1"/>
      <c r="G88" s="3"/>
      <c r="H88" s="1"/>
      <c r="I88" s="1"/>
      <c r="J88" s="34"/>
      <c r="K88" s="34"/>
      <c r="L88" s="34"/>
    </row>
    <row r="89" spans="1:12" ht="43.95" customHeight="1" x14ac:dyDescent="0.3">
      <c r="A89" s="230" t="s">
        <v>36</v>
      </c>
      <c r="B89" s="231">
        <v>244</v>
      </c>
      <c r="C89" s="231">
        <v>310</v>
      </c>
      <c r="D89" s="3">
        <f t="shared" si="4"/>
        <v>0</v>
      </c>
      <c r="E89" s="1"/>
      <c r="F89" s="1"/>
      <c r="G89" s="3">
        <f>H89+I89</f>
        <v>0</v>
      </c>
      <c r="H89" s="1"/>
      <c r="I89" s="1"/>
      <c r="J89" s="34"/>
      <c r="K89" s="34"/>
      <c r="L89" s="34"/>
    </row>
    <row r="90" spans="1:12" ht="62.4" customHeight="1" x14ac:dyDescent="0.3">
      <c r="A90" s="230" t="s">
        <v>68</v>
      </c>
      <c r="B90" s="231">
        <v>244</v>
      </c>
      <c r="C90" s="231">
        <v>320</v>
      </c>
      <c r="D90" s="3">
        <f t="shared" si="4"/>
        <v>0</v>
      </c>
      <c r="E90" s="1"/>
      <c r="F90" s="1"/>
      <c r="G90" s="3">
        <f>H90+I90</f>
        <v>0</v>
      </c>
      <c r="H90" s="1"/>
      <c r="I90" s="1"/>
      <c r="J90" s="34"/>
      <c r="K90" s="34"/>
      <c r="L90" s="34"/>
    </row>
    <row r="91" spans="1:12" ht="60" customHeight="1" x14ac:dyDescent="0.3">
      <c r="A91" s="230" t="s">
        <v>60</v>
      </c>
      <c r="B91" s="231" t="s">
        <v>5</v>
      </c>
      <c r="C91" s="231">
        <v>340</v>
      </c>
      <c r="D91" s="3">
        <f t="shared" si="4"/>
        <v>391950</v>
      </c>
      <c r="E91" s="1">
        <f>E93+E94+E95+E96+E97+E98+E100</f>
        <v>391950</v>
      </c>
      <c r="F91" s="1">
        <f>F93+F94+F95+F96+F97+F98+F100</f>
        <v>0</v>
      </c>
      <c r="G91" s="3">
        <f>H91+I91</f>
        <v>391950</v>
      </c>
      <c r="H91" s="1">
        <f>H93+H94+H95+H96+H97+H98+H100</f>
        <v>391950</v>
      </c>
      <c r="I91" s="1">
        <f>I93+I94+I95+I96+I97+I98+I100</f>
        <v>0</v>
      </c>
      <c r="J91" s="34"/>
      <c r="K91" s="34"/>
      <c r="L91" s="34"/>
    </row>
    <row r="92" spans="1:12" ht="18" x14ac:dyDescent="0.3">
      <c r="A92" s="230" t="s">
        <v>6</v>
      </c>
      <c r="B92" s="231"/>
      <c r="C92" s="231"/>
      <c r="D92" s="3"/>
      <c r="E92" s="1"/>
      <c r="F92" s="1"/>
      <c r="G92" s="3"/>
      <c r="H92" s="1"/>
      <c r="I92" s="1"/>
      <c r="J92" s="34"/>
      <c r="K92" s="34"/>
      <c r="L92" s="34"/>
    </row>
    <row r="93" spans="1:12" ht="114" customHeight="1" x14ac:dyDescent="0.3">
      <c r="A93" s="230" t="s">
        <v>37</v>
      </c>
      <c r="B93" s="231">
        <v>244</v>
      </c>
      <c r="C93" s="231">
        <v>341</v>
      </c>
      <c r="D93" s="3">
        <f t="shared" si="4"/>
        <v>0</v>
      </c>
      <c r="E93" s="1">
        <v>0</v>
      </c>
      <c r="F93" s="1"/>
      <c r="G93" s="3">
        <f t="shared" ref="G93:G101" si="5">H93+I93</f>
        <v>0</v>
      </c>
      <c r="H93" s="1">
        <v>0</v>
      </c>
      <c r="I93" s="1"/>
      <c r="J93" s="34"/>
      <c r="K93" s="34"/>
      <c r="L93" s="34"/>
    </row>
    <row r="94" spans="1:12" ht="39.6" customHeight="1" x14ac:dyDescent="0.3">
      <c r="A94" s="230" t="s">
        <v>38</v>
      </c>
      <c r="B94" s="231">
        <v>244</v>
      </c>
      <c r="C94" s="231">
        <v>342</v>
      </c>
      <c r="D94" s="3">
        <f t="shared" si="4"/>
        <v>0</v>
      </c>
      <c r="E94" s="1">
        <v>0</v>
      </c>
      <c r="F94" s="1"/>
      <c r="G94" s="3">
        <f t="shared" si="5"/>
        <v>0</v>
      </c>
      <c r="H94" s="1">
        <v>0</v>
      </c>
      <c r="I94" s="1"/>
      <c r="J94" s="34"/>
      <c r="K94" s="34"/>
      <c r="L94" s="34"/>
    </row>
    <row r="95" spans="1:12" ht="60.6" customHeight="1" x14ac:dyDescent="0.3">
      <c r="A95" s="230" t="s">
        <v>39</v>
      </c>
      <c r="B95" s="231">
        <v>244</v>
      </c>
      <c r="C95" s="231">
        <v>343</v>
      </c>
      <c r="D95" s="3">
        <f t="shared" si="4"/>
        <v>0</v>
      </c>
      <c r="E95" s="1">
        <v>0</v>
      </c>
      <c r="F95" s="1"/>
      <c r="G95" s="3">
        <f t="shared" si="5"/>
        <v>0</v>
      </c>
      <c r="H95" s="1">
        <v>0</v>
      </c>
      <c r="I95" s="1"/>
      <c r="J95" s="34"/>
      <c r="K95" s="34"/>
      <c r="L95" s="34"/>
    </row>
    <row r="96" spans="1:12" ht="61.2" customHeight="1" x14ac:dyDescent="0.3">
      <c r="A96" s="230" t="s">
        <v>40</v>
      </c>
      <c r="B96" s="231">
        <v>244</v>
      </c>
      <c r="C96" s="231">
        <v>344</v>
      </c>
      <c r="D96" s="3">
        <f t="shared" si="4"/>
        <v>0</v>
      </c>
      <c r="E96" s="1">
        <v>0</v>
      </c>
      <c r="F96" s="1"/>
      <c r="G96" s="3">
        <f t="shared" si="5"/>
        <v>0</v>
      </c>
      <c r="H96" s="1">
        <v>0</v>
      </c>
      <c r="I96" s="1"/>
      <c r="J96" s="34"/>
      <c r="K96" s="34"/>
      <c r="L96" s="34"/>
    </row>
    <row r="97" spans="1:12" ht="43.2" customHeight="1" x14ac:dyDescent="0.3">
      <c r="A97" s="230" t="s">
        <v>41</v>
      </c>
      <c r="B97" s="231">
        <v>244</v>
      </c>
      <c r="C97" s="231">
        <v>345</v>
      </c>
      <c r="D97" s="3">
        <f t="shared" si="4"/>
        <v>0</v>
      </c>
      <c r="E97" s="1">
        <v>0</v>
      </c>
      <c r="F97" s="1"/>
      <c r="G97" s="3">
        <f t="shared" si="5"/>
        <v>0</v>
      </c>
      <c r="H97" s="1">
        <v>0</v>
      </c>
      <c r="I97" s="1"/>
      <c r="J97" s="34"/>
      <c r="K97" s="34"/>
      <c r="L97" s="34"/>
    </row>
    <row r="98" spans="1:12" ht="66" customHeight="1" x14ac:dyDescent="0.3">
      <c r="A98" s="230" t="s">
        <v>42</v>
      </c>
      <c r="B98" s="231">
        <v>244</v>
      </c>
      <c r="C98" s="231">
        <v>346</v>
      </c>
      <c r="D98" s="3">
        <f t="shared" si="4"/>
        <v>391950</v>
      </c>
      <c r="E98" s="1">
        <v>391950</v>
      </c>
      <c r="F98" s="1"/>
      <c r="G98" s="3">
        <f t="shared" si="5"/>
        <v>391950</v>
      </c>
      <c r="H98" s="1">
        <v>391950</v>
      </c>
      <c r="I98" s="1"/>
      <c r="J98" s="34"/>
      <c r="K98" s="34"/>
      <c r="L98" s="34"/>
    </row>
    <row r="99" spans="1:12" ht="81.599999999999994" customHeight="1" x14ac:dyDescent="0.3">
      <c r="A99" s="261" t="s">
        <v>446</v>
      </c>
      <c r="B99" s="262">
        <v>244</v>
      </c>
      <c r="C99" s="262">
        <v>347</v>
      </c>
      <c r="D99" s="3">
        <v>0</v>
      </c>
      <c r="E99" s="1"/>
      <c r="F99" s="1"/>
      <c r="G99" s="3"/>
      <c r="H99" s="1"/>
      <c r="I99" s="1"/>
      <c r="J99" s="34"/>
      <c r="K99" s="34"/>
      <c r="L99" s="34"/>
    </row>
    <row r="100" spans="1:12" ht="79.95" customHeight="1" x14ac:dyDescent="0.3">
      <c r="A100" s="230" t="s">
        <v>43</v>
      </c>
      <c r="B100" s="231">
        <v>244</v>
      </c>
      <c r="C100" s="231">
        <v>349</v>
      </c>
      <c r="D100" s="3">
        <f t="shared" si="4"/>
        <v>0</v>
      </c>
      <c r="E100" s="1">
        <v>0</v>
      </c>
      <c r="F100" s="1"/>
      <c r="G100" s="3">
        <f t="shared" si="5"/>
        <v>0</v>
      </c>
      <c r="H100" s="1">
        <v>0</v>
      </c>
      <c r="I100" s="1"/>
      <c r="J100" s="34"/>
      <c r="K100" s="34"/>
      <c r="L100" s="34"/>
    </row>
    <row r="101" spans="1:12" ht="61.95" customHeight="1" x14ac:dyDescent="0.3">
      <c r="A101" s="230" t="s">
        <v>67</v>
      </c>
      <c r="B101" s="231" t="s">
        <v>5</v>
      </c>
      <c r="C101" s="231" t="s">
        <v>5</v>
      </c>
      <c r="D101" s="3">
        <f t="shared" si="4"/>
        <v>0</v>
      </c>
      <c r="E101" s="1">
        <f>E103+E104+E105</f>
        <v>0</v>
      </c>
      <c r="F101" s="1">
        <f>F103+F104+F105</f>
        <v>0</v>
      </c>
      <c r="G101" s="3">
        <f t="shared" si="5"/>
        <v>0</v>
      </c>
      <c r="H101" s="1">
        <f>H103+H104+H105</f>
        <v>0</v>
      </c>
      <c r="I101" s="1">
        <f>I103+I104+I105</f>
        <v>0</v>
      </c>
      <c r="J101" s="34"/>
      <c r="K101" s="34"/>
      <c r="L101" s="34"/>
    </row>
    <row r="102" spans="1:12" ht="24" customHeight="1" x14ac:dyDescent="0.3">
      <c r="A102" s="230" t="s">
        <v>6</v>
      </c>
      <c r="B102" s="231"/>
      <c r="C102" s="231"/>
      <c r="D102" s="3"/>
      <c r="E102" s="1"/>
      <c r="F102" s="1"/>
      <c r="G102" s="3"/>
      <c r="H102" s="1"/>
      <c r="I102" s="1"/>
      <c r="J102" s="34"/>
      <c r="K102" s="34"/>
      <c r="L102" s="34"/>
    </row>
    <row r="103" spans="1:12" ht="25.2" customHeight="1" x14ac:dyDescent="0.3">
      <c r="A103" s="230" t="s">
        <v>193</v>
      </c>
      <c r="B103" s="231">
        <v>180</v>
      </c>
      <c r="C103" s="231" t="s">
        <v>5</v>
      </c>
      <c r="D103" s="3">
        <f t="shared" si="4"/>
        <v>0</v>
      </c>
      <c r="E103" s="1"/>
      <c r="F103" s="1"/>
      <c r="G103" s="3">
        <f>H103+I103</f>
        <v>0</v>
      </c>
      <c r="H103" s="1"/>
      <c r="I103" s="1"/>
      <c r="J103" s="34"/>
      <c r="K103" s="34"/>
      <c r="L103" s="34"/>
    </row>
    <row r="104" spans="1:12" ht="36" x14ac:dyDescent="0.3">
      <c r="A104" s="230" t="s">
        <v>194</v>
      </c>
      <c r="B104" s="231">
        <v>180</v>
      </c>
      <c r="C104" s="231" t="s">
        <v>5</v>
      </c>
      <c r="D104" s="3">
        <f t="shared" si="4"/>
        <v>0</v>
      </c>
      <c r="E104" s="1"/>
      <c r="F104" s="1"/>
      <c r="G104" s="3">
        <f>H104+I104</f>
        <v>0</v>
      </c>
      <c r="H104" s="1"/>
      <c r="I104" s="1"/>
      <c r="J104" s="34"/>
      <c r="K104" s="34"/>
      <c r="L104" s="34"/>
    </row>
    <row r="105" spans="1:12" ht="39.6" customHeight="1" x14ac:dyDescent="0.3">
      <c r="A105" s="230" t="s">
        <v>195</v>
      </c>
      <c r="B105" s="231">
        <v>180</v>
      </c>
      <c r="C105" s="231" t="s">
        <v>5</v>
      </c>
      <c r="D105" s="3">
        <f t="shared" si="4"/>
        <v>0</v>
      </c>
      <c r="E105" s="1"/>
      <c r="F105" s="1"/>
      <c r="G105" s="3">
        <f>H105+I105</f>
        <v>0</v>
      </c>
      <c r="H105" s="1"/>
      <c r="I105" s="1"/>
      <c r="J105" s="34"/>
      <c r="K105" s="34"/>
      <c r="L105" s="34"/>
    </row>
    <row r="106" spans="1:12" ht="18" x14ac:dyDescent="0.3">
      <c r="A106" s="13"/>
      <c r="B106" s="17"/>
      <c r="C106" s="17"/>
      <c r="D106" s="34"/>
      <c r="E106" s="34"/>
      <c r="F106" s="34"/>
    </row>
    <row r="107" spans="1:12" ht="18" x14ac:dyDescent="0.35">
      <c r="A107" s="395" t="s">
        <v>52</v>
      </c>
      <c r="B107" s="395"/>
      <c r="C107" s="400"/>
      <c r="D107" s="400"/>
      <c r="E107" s="400" t="s">
        <v>267</v>
      </c>
      <c r="F107" s="400"/>
    </row>
    <row r="108" spans="1:12" ht="18" x14ac:dyDescent="0.35">
      <c r="A108" s="27"/>
      <c r="B108" s="173"/>
      <c r="C108" s="173"/>
      <c r="D108" s="173" t="s">
        <v>53</v>
      </c>
      <c r="E108" s="401" t="s">
        <v>54</v>
      </c>
      <c r="F108" s="401"/>
    </row>
    <row r="109" spans="1:12" ht="18" x14ac:dyDescent="0.35">
      <c r="A109" s="27"/>
      <c r="B109" s="8"/>
      <c r="C109" s="8"/>
      <c r="D109" s="8"/>
      <c r="E109" s="8"/>
      <c r="F109" s="8"/>
    </row>
    <row r="110" spans="1:12" ht="18" x14ac:dyDescent="0.35">
      <c r="A110" s="395" t="s">
        <v>55</v>
      </c>
      <c r="B110" s="395"/>
      <c r="C110" s="400"/>
      <c r="D110" s="400"/>
      <c r="E110" s="400" t="s">
        <v>464</v>
      </c>
      <c r="F110" s="400"/>
    </row>
    <row r="111" spans="1:12" ht="18" x14ac:dyDescent="0.35">
      <c r="A111" s="27"/>
      <c r="B111" s="174"/>
      <c r="C111" s="173"/>
      <c r="D111" s="173" t="s">
        <v>53</v>
      </c>
      <c r="E111" s="401" t="s">
        <v>54</v>
      </c>
      <c r="F111" s="401"/>
    </row>
    <row r="112" spans="1:12" ht="18" x14ac:dyDescent="0.35">
      <c r="A112" s="27"/>
      <c r="B112" s="175"/>
      <c r="C112" s="114"/>
      <c r="D112" s="8"/>
      <c r="E112" s="104"/>
      <c r="F112" s="104"/>
    </row>
    <row r="113" spans="1:16" ht="18" x14ac:dyDescent="0.35">
      <c r="A113" s="395" t="s">
        <v>56</v>
      </c>
      <c r="B113" s="395"/>
      <c r="C113" s="400"/>
      <c r="D113" s="400"/>
      <c r="E113" s="400" t="s">
        <v>268</v>
      </c>
      <c r="F113" s="400"/>
    </row>
    <row r="114" spans="1:16" ht="18" x14ac:dyDescent="0.35">
      <c r="A114" s="27"/>
      <c r="B114" s="174"/>
      <c r="C114" s="173"/>
      <c r="D114" s="173" t="s">
        <v>53</v>
      </c>
      <c r="E114" s="401" t="s">
        <v>54</v>
      </c>
      <c r="F114" s="401"/>
    </row>
    <row r="115" spans="1:16" ht="18" x14ac:dyDescent="0.35">
      <c r="A115" s="27" t="s">
        <v>428</v>
      </c>
      <c r="B115" s="8"/>
      <c r="C115" s="8"/>
      <c r="D115" s="8"/>
      <c r="E115" s="8"/>
      <c r="F115" s="8"/>
    </row>
    <row r="116" spans="1:16" ht="18" x14ac:dyDescent="0.35">
      <c r="A116" s="396" t="s">
        <v>483</v>
      </c>
      <c r="B116" s="396"/>
      <c r="C116" s="8"/>
      <c r="D116" s="8"/>
      <c r="E116" s="8"/>
      <c r="F116" s="8"/>
    </row>
    <row r="117" spans="1:16" ht="17.399999999999999" x14ac:dyDescent="0.3">
      <c r="A117" s="564" t="s">
        <v>191</v>
      </c>
      <c r="B117" s="564"/>
      <c r="C117" s="564"/>
      <c r="D117" s="564"/>
      <c r="E117" s="564"/>
      <c r="F117" s="564"/>
      <c r="G117" s="564"/>
      <c r="H117" s="564"/>
      <c r="I117" s="564"/>
      <c r="K117" s="563"/>
      <c r="L117" s="563"/>
      <c r="M117" s="563"/>
      <c r="N117" s="563"/>
      <c r="O117" s="563"/>
      <c r="P117" s="563"/>
    </row>
    <row r="118" spans="1:16" ht="108" x14ac:dyDescent="0.3">
      <c r="A118" s="48" t="s">
        <v>69</v>
      </c>
      <c r="B118" s="52" t="s">
        <v>5</v>
      </c>
      <c r="C118" s="52" t="s">
        <v>5</v>
      </c>
      <c r="D118" s="3">
        <f>E118+F118</f>
        <v>5468648.0800000001</v>
      </c>
      <c r="E118" s="1">
        <v>5468648.0800000001</v>
      </c>
      <c r="F118" s="2"/>
      <c r="G118" s="3">
        <f>H118+I118</f>
        <v>5520964.1500000004</v>
      </c>
      <c r="H118" s="1">
        <v>5520964.1500000004</v>
      </c>
      <c r="I118" s="2"/>
      <c r="J118" s="34"/>
      <c r="K118" s="65"/>
      <c r="L118" s="65"/>
      <c r="M118" s="65"/>
      <c r="N118" s="65"/>
      <c r="O118" s="65"/>
      <c r="P118" s="65"/>
    </row>
    <row r="119" spans="1:16" ht="18" x14ac:dyDescent="0.3">
      <c r="A119" s="48" t="s">
        <v>7</v>
      </c>
      <c r="B119" s="52" t="s">
        <v>5</v>
      </c>
      <c r="C119" s="52">
        <v>900</v>
      </c>
      <c r="D119" s="3">
        <f>E119+F119</f>
        <v>5695891.8999999994</v>
      </c>
      <c r="E119" s="1">
        <f>E122+E150+E164+E192</f>
        <v>5695891.8999999994</v>
      </c>
      <c r="F119" s="1">
        <f>F122+F150</f>
        <v>0</v>
      </c>
      <c r="G119" s="3">
        <f>H119+I119</f>
        <v>5695891.8999999994</v>
      </c>
      <c r="H119" s="1">
        <f>H122+H150+H164+H192</f>
        <v>5695891.8999999994</v>
      </c>
      <c r="I119" s="1">
        <f>I122+I150</f>
        <v>0</v>
      </c>
      <c r="J119" s="34"/>
      <c r="K119" s="66"/>
      <c r="L119" s="66"/>
      <c r="M119" s="66"/>
      <c r="N119" s="66"/>
      <c r="O119" s="66"/>
      <c r="P119" s="66"/>
    </row>
    <row r="120" spans="1:16" ht="18" x14ac:dyDescent="0.3">
      <c r="A120" s="48" t="s">
        <v>6</v>
      </c>
      <c r="B120" s="52"/>
      <c r="C120" s="52"/>
      <c r="D120" s="3"/>
      <c r="E120" s="1"/>
      <c r="F120" s="2"/>
      <c r="G120" s="3"/>
      <c r="H120" s="1"/>
      <c r="I120" s="2"/>
      <c r="J120" s="34"/>
      <c r="K120" s="34"/>
      <c r="L120" s="34"/>
    </row>
    <row r="121" spans="1:16" ht="17.399999999999999" customHeight="1" x14ac:dyDescent="0.3">
      <c r="A121" s="565" t="s">
        <v>199</v>
      </c>
      <c r="B121" s="566"/>
      <c r="C121" s="566"/>
      <c r="D121" s="566"/>
      <c r="E121" s="566"/>
      <c r="F121" s="566"/>
      <c r="G121" s="566"/>
      <c r="H121" s="566"/>
      <c r="I121" s="566"/>
      <c r="J121" s="246"/>
      <c r="K121" s="246"/>
      <c r="L121" s="246"/>
    </row>
    <row r="122" spans="1:16" ht="18" x14ac:dyDescent="0.3">
      <c r="A122" s="48" t="s">
        <v>8</v>
      </c>
      <c r="B122" s="52" t="s">
        <v>5</v>
      </c>
      <c r="C122" s="52">
        <v>200</v>
      </c>
      <c r="D122" s="3">
        <f t="shared" ref="D122:D154" si="6">E122+F122</f>
        <v>0</v>
      </c>
      <c r="E122" s="1">
        <f>E124+E127+E146</f>
        <v>0</v>
      </c>
      <c r="F122" s="1">
        <f>F124+F127+F146</f>
        <v>0</v>
      </c>
      <c r="G122" s="3">
        <f>H122+I122</f>
        <v>0</v>
      </c>
      <c r="H122" s="1">
        <f>H124+H127+H146</f>
        <v>0</v>
      </c>
      <c r="I122" s="1">
        <f>I124+I127+I146</f>
        <v>0</v>
      </c>
      <c r="J122" s="34"/>
      <c r="K122" s="34"/>
      <c r="L122" s="34"/>
    </row>
    <row r="123" spans="1:16" ht="18" x14ac:dyDescent="0.3">
      <c r="A123" s="48" t="s">
        <v>9</v>
      </c>
      <c r="B123" s="52"/>
      <c r="C123" s="52"/>
      <c r="D123" s="3"/>
      <c r="E123" s="1"/>
      <c r="F123" s="1"/>
      <c r="G123" s="3"/>
      <c r="H123" s="1"/>
      <c r="I123" s="1"/>
      <c r="J123" s="34"/>
      <c r="K123" s="34"/>
      <c r="L123" s="34"/>
    </row>
    <row r="124" spans="1:16" ht="54" x14ac:dyDescent="0.3">
      <c r="A124" s="48" t="s">
        <v>10</v>
      </c>
      <c r="B124" s="52" t="s">
        <v>5</v>
      </c>
      <c r="C124" s="52">
        <v>210</v>
      </c>
      <c r="D124" s="3">
        <f t="shared" si="6"/>
        <v>0</v>
      </c>
      <c r="E124" s="1">
        <f>E126</f>
        <v>0</v>
      </c>
      <c r="F124" s="1">
        <f>F126</f>
        <v>0</v>
      </c>
      <c r="G124" s="3">
        <f>H124+I124</f>
        <v>0</v>
      </c>
      <c r="H124" s="1">
        <f>H126</f>
        <v>0</v>
      </c>
      <c r="I124" s="1">
        <f>I126</f>
        <v>0</v>
      </c>
      <c r="J124" s="34"/>
      <c r="K124" s="34"/>
      <c r="L124" s="34"/>
    </row>
    <row r="125" spans="1:16" ht="18" x14ac:dyDescent="0.3">
      <c r="A125" s="48" t="s">
        <v>9</v>
      </c>
      <c r="B125" s="52"/>
      <c r="C125" s="52"/>
      <c r="D125" s="3"/>
      <c r="E125" s="1"/>
      <c r="F125" s="1"/>
      <c r="G125" s="3"/>
      <c r="H125" s="1"/>
      <c r="I125" s="1"/>
      <c r="J125" s="34"/>
      <c r="K125" s="34"/>
      <c r="L125" s="34"/>
    </row>
    <row r="126" spans="1:16" ht="54" x14ac:dyDescent="0.3">
      <c r="A126" s="48" t="s">
        <v>200</v>
      </c>
      <c r="B126" s="52">
        <v>244</v>
      </c>
      <c r="C126" s="52">
        <v>214</v>
      </c>
      <c r="D126" s="3">
        <f>E126+F126</f>
        <v>0</v>
      </c>
      <c r="E126" s="1"/>
      <c r="F126" s="1"/>
      <c r="G126" s="3">
        <f>H126+I126</f>
        <v>0</v>
      </c>
      <c r="H126" s="1"/>
      <c r="I126" s="1"/>
      <c r="J126" s="34"/>
      <c r="K126" s="34"/>
      <c r="L126" s="34"/>
    </row>
    <row r="127" spans="1:16" ht="36" x14ac:dyDescent="0.3">
      <c r="A127" s="48" t="s">
        <v>14</v>
      </c>
      <c r="B127" s="52" t="s">
        <v>5</v>
      </c>
      <c r="C127" s="52">
        <v>220</v>
      </c>
      <c r="D127" s="3">
        <f t="shared" si="6"/>
        <v>0</v>
      </c>
      <c r="E127" s="1">
        <f>E129+E130+E131+E138+E139+E142+E145</f>
        <v>0</v>
      </c>
      <c r="F127" s="1">
        <f>F129+F130+F131+F138+F139+F142+F145</f>
        <v>0</v>
      </c>
      <c r="G127" s="3">
        <f>H127+I127</f>
        <v>0</v>
      </c>
      <c r="H127" s="1">
        <f>H129+H130+H131+H138+H139+H142+H145</f>
        <v>0</v>
      </c>
      <c r="I127" s="1">
        <f>I129+I130+I131+I138+I139+I142+I145</f>
        <v>0</v>
      </c>
      <c r="J127" s="34"/>
      <c r="K127" s="34"/>
      <c r="L127" s="34"/>
    </row>
    <row r="128" spans="1:16" ht="18" x14ac:dyDescent="0.3">
      <c r="A128" s="48" t="s">
        <v>9</v>
      </c>
      <c r="B128" s="52"/>
      <c r="C128" s="52"/>
      <c r="D128" s="3"/>
      <c r="E128" s="1"/>
      <c r="F128" s="1"/>
      <c r="G128" s="3"/>
      <c r="H128" s="1"/>
      <c r="I128" s="1"/>
      <c r="J128" s="34"/>
      <c r="K128" s="34"/>
      <c r="L128" s="34"/>
    </row>
    <row r="129" spans="1:12" ht="18" x14ac:dyDescent="0.3">
      <c r="A129" s="48" t="s">
        <v>15</v>
      </c>
      <c r="B129" s="52">
        <v>244</v>
      </c>
      <c r="C129" s="52">
        <v>221</v>
      </c>
      <c r="D129" s="3">
        <f t="shared" si="6"/>
        <v>0</v>
      </c>
      <c r="E129" s="1"/>
      <c r="F129" s="1"/>
      <c r="G129" s="3">
        <f>H129+I129</f>
        <v>0</v>
      </c>
      <c r="H129" s="1"/>
      <c r="I129" s="1"/>
      <c r="J129" s="34"/>
      <c r="K129" s="34"/>
      <c r="L129" s="34"/>
    </row>
    <row r="130" spans="1:12" ht="36" x14ac:dyDescent="0.3">
      <c r="A130" s="48" t="s">
        <v>16</v>
      </c>
      <c r="B130" s="52">
        <v>244</v>
      </c>
      <c r="C130" s="52">
        <v>222</v>
      </c>
      <c r="D130" s="3">
        <f t="shared" si="6"/>
        <v>0</v>
      </c>
      <c r="E130" s="1"/>
      <c r="F130" s="1"/>
      <c r="G130" s="3">
        <f>H130+I130</f>
        <v>0</v>
      </c>
      <c r="H130" s="1"/>
      <c r="I130" s="1"/>
      <c r="J130" s="34"/>
      <c r="K130" s="34"/>
      <c r="L130" s="34"/>
    </row>
    <row r="131" spans="1:12" ht="18" x14ac:dyDescent="0.3">
      <c r="A131" s="48" t="s">
        <v>17</v>
      </c>
      <c r="B131" s="52" t="s">
        <v>5</v>
      </c>
      <c r="C131" s="52">
        <v>223</v>
      </c>
      <c r="D131" s="3">
        <f t="shared" si="6"/>
        <v>0</v>
      </c>
      <c r="E131" s="1">
        <f>E133+E134+E135+E136+E137</f>
        <v>0</v>
      </c>
      <c r="F131" s="1">
        <f>F133+F134+F135+F136+F137</f>
        <v>0</v>
      </c>
      <c r="G131" s="3">
        <f>H131+I131</f>
        <v>0</v>
      </c>
      <c r="H131" s="1">
        <f>H133+H134+H135+H136+H137</f>
        <v>0</v>
      </c>
      <c r="I131" s="1">
        <f>I133+I134+I135+I136+I137</f>
        <v>0</v>
      </c>
      <c r="J131" s="34"/>
      <c r="K131" s="34"/>
      <c r="L131" s="34"/>
    </row>
    <row r="132" spans="1:12" ht="18" x14ac:dyDescent="0.3">
      <c r="A132" s="48" t="s">
        <v>6</v>
      </c>
      <c r="B132" s="52"/>
      <c r="C132" s="52"/>
      <c r="D132" s="3"/>
      <c r="E132" s="1"/>
      <c r="F132" s="1"/>
      <c r="G132" s="3"/>
      <c r="H132" s="1"/>
      <c r="I132" s="1"/>
      <c r="J132" s="34"/>
      <c r="K132" s="34"/>
      <c r="L132" s="34"/>
    </row>
    <row r="133" spans="1:12" ht="36" x14ac:dyDescent="0.3">
      <c r="A133" s="48" t="s">
        <v>18</v>
      </c>
      <c r="B133" s="52">
        <v>244</v>
      </c>
      <c r="C133" s="52">
        <v>223</v>
      </c>
      <c r="D133" s="3">
        <f t="shared" si="6"/>
        <v>0</v>
      </c>
      <c r="E133" s="1"/>
      <c r="F133" s="1"/>
      <c r="G133" s="3">
        <f t="shared" ref="G133:G138" si="7">H133+I133</f>
        <v>0</v>
      </c>
      <c r="H133" s="1"/>
      <c r="I133" s="1"/>
      <c r="J133" s="34"/>
      <c r="K133" s="34"/>
      <c r="L133" s="34"/>
    </row>
    <row r="134" spans="1:12" ht="36" x14ac:dyDescent="0.3">
      <c r="A134" s="48" t="s">
        <v>19</v>
      </c>
      <c r="B134" s="52">
        <v>244</v>
      </c>
      <c r="C134" s="52">
        <v>223</v>
      </c>
      <c r="D134" s="3">
        <f t="shared" si="6"/>
        <v>0</v>
      </c>
      <c r="E134" s="1"/>
      <c r="F134" s="1"/>
      <c r="G134" s="3">
        <f t="shared" si="7"/>
        <v>0</v>
      </c>
      <c r="H134" s="1"/>
      <c r="I134" s="1"/>
      <c r="J134" s="34"/>
      <c r="K134" s="34"/>
      <c r="L134" s="34"/>
    </row>
    <row r="135" spans="1:12" ht="36" x14ac:dyDescent="0.3">
      <c r="A135" s="48" t="s">
        <v>20</v>
      </c>
      <c r="B135" s="52">
        <v>244</v>
      </c>
      <c r="C135" s="52">
        <v>223</v>
      </c>
      <c r="D135" s="3">
        <f t="shared" si="6"/>
        <v>0</v>
      </c>
      <c r="E135" s="1"/>
      <c r="F135" s="1"/>
      <c r="G135" s="3">
        <f t="shared" si="7"/>
        <v>0</v>
      </c>
      <c r="H135" s="1"/>
      <c r="I135" s="1"/>
      <c r="J135" s="34"/>
      <c r="K135" s="34"/>
      <c r="L135" s="34"/>
    </row>
    <row r="136" spans="1:12" ht="54" x14ac:dyDescent="0.3">
      <c r="A136" s="48" t="s">
        <v>21</v>
      </c>
      <c r="B136" s="52">
        <v>244</v>
      </c>
      <c r="C136" s="52">
        <v>223</v>
      </c>
      <c r="D136" s="3">
        <f t="shared" si="6"/>
        <v>0</v>
      </c>
      <c r="E136" s="1"/>
      <c r="F136" s="1"/>
      <c r="G136" s="3">
        <f t="shared" si="7"/>
        <v>0</v>
      </c>
      <c r="H136" s="1"/>
      <c r="I136" s="1"/>
      <c r="J136" s="34"/>
      <c r="K136" s="34"/>
      <c r="L136" s="34"/>
    </row>
    <row r="137" spans="1:12" ht="36" x14ac:dyDescent="0.3">
      <c r="A137" s="48" t="s">
        <v>22</v>
      </c>
      <c r="B137" s="52">
        <v>244</v>
      </c>
      <c r="C137" s="52">
        <v>223</v>
      </c>
      <c r="D137" s="3">
        <f t="shared" si="6"/>
        <v>0</v>
      </c>
      <c r="E137" s="1"/>
      <c r="F137" s="1"/>
      <c r="G137" s="3">
        <f t="shared" si="7"/>
        <v>0</v>
      </c>
      <c r="H137" s="1"/>
      <c r="I137" s="1"/>
      <c r="J137" s="34"/>
      <c r="K137" s="34"/>
      <c r="L137" s="34"/>
    </row>
    <row r="138" spans="1:12" ht="126" x14ac:dyDescent="0.3">
      <c r="A138" s="48" t="s">
        <v>23</v>
      </c>
      <c r="B138" s="52">
        <v>244</v>
      </c>
      <c r="C138" s="52">
        <v>224</v>
      </c>
      <c r="D138" s="3">
        <f t="shared" si="6"/>
        <v>0</v>
      </c>
      <c r="E138" s="1"/>
      <c r="F138" s="1"/>
      <c r="G138" s="3">
        <f t="shared" si="7"/>
        <v>0</v>
      </c>
      <c r="H138" s="1"/>
      <c r="I138" s="1"/>
      <c r="J138" s="34"/>
      <c r="K138" s="34"/>
      <c r="L138" s="34"/>
    </row>
    <row r="139" spans="1:12" ht="54" x14ac:dyDescent="0.3">
      <c r="A139" s="48" t="s">
        <v>24</v>
      </c>
      <c r="B139" s="52" t="s">
        <v>5</v>
      </c>
      <c r="C139" s="52">
        <v>225</v>
      </c>
      <c r="D139" s="1">
        <f t="shared" ref="D139:I139" si="8">D140+D141</f>
        <v>0</v>
      </c>
      <c r="E139" s="1">
        <f t="shared" si="8"/>
        <v>0</v>
      </c>
      <c r="F139" s="1">
        <f t="shared" si="8"/>
        <v>0</v>
      </c>
      <c r="G139" s="1">
        <f t="shared" si="8"/>
        <v>0</v>
      </c>
      <c r="H139" s="1">
        <f t="shared" si="8"/>
        <v>0</v>
      </c>
      <c r="I139" s="1">
        <f t="shared" si="8"/>
        <v>0</v>
      </c>
      <c r="J139" s="34"/>
      <c r="K139" s="34"/>
      <c r="L139" s="34"/>
    </row>
    <row r="140" spans="1:12" ht="18" x14ac:dyDescent="0.3">
      <c r="A140" s="385" t="s">
        <v>6</v>
      </c>
      <c r="B140" s="52">
        <v>243</v>
      </c>
      <c r="C140" s="52">
        <v>225</v>
      </c>
      <c r="D140" s="3">
        <f t="shared" si="6"/>
        <v>0</v>
      </c>
      <c r="E140" s="1"/>
      <c r="F140" s="1"/>
      <c r="G140" s="3">
        <f t="shared" ref="G140:G150" si="9">H140+I140</f>
        <v>0</v>
      </c>
      <c r="H140" s="1"/>
      <c r="I140" s="1"/>
      <c r="J140" s="34"/>
      <c r="K140" s="34"/>
      <c r="L140" s="34"/>
    </row>
    <row r="141" spans="1:12" ht="18" x14ac:dyDescent="0.3">
      <c r="A141" s="385"/>
      <c r="B141" s="52">
        <v>244</v>
      </c>
      <c r="C141" s="52">
        <v>225</v>
      </c>
      <c r="D141" s="3">
        <f t="shared" si="6"/>
        <v>0</v>
      </c>
      <c r="E141" s="1"/>
      <c r="F141" s="1"/>
      <c r="G141" s="3">
        <f t="shared" si="9"/>
        <v>0</v>
      </c>
      <c r="H141" s="1"/>
      <c r="I141" s="1"/>
      <c r="J141" s="34"/>
      <c r="K141" s="34"/>
      <c r="L141" s="34"/>
    </row>
    <row r="142" spans="1:12" ht="18" x14ac:dyDescent="0.3">
      <c r="A142" s="48" t="s">
        <v>58</v>
      </c>
      <c r="B142" s="52" t="s">
        <v>5</v>
      </c>
      <c r="C142" s="52">
        <v>226</v>
      </c>
      <c r="D142" s="3">
        <f t="shared" si="6"/>
        <v>0</v>
      </c>
      <c r="E142" s="1">
        <f>E143+E144</f>
        <v>0</v>
      </c>
      <c r="F142" s="1">
        <f>F143+F144</f>
        <v>0</v>
      </c>
      <c r="G142" s="3">
        <f t="shared" si="9"/>
        <v>0</v>
      </c>
      <c r="H142" s="1">
        <f>H143+H144</f>
        <v>0</v>
      </c>
      <c r="I142" s="1">
        <f>I143+I144</f>
        <v>0</v>
      </c>
      <c r="J142" s="34"/>
      <c r="K142" s="34"/>
      <c r="L142" s="34"/>
    </row>
    <row r="143" spans="1:12" ht="18" x14ac:dyDescent="0.3">
      <c r="A143" s="385" t="s">
        <v>6</v>
      </c>
      <c r="B143" s="52">
        <v>243</v>
      </c>
      <c r="C143" s="52">
        <v>226</v>
      </c>
      <c r="D143" s="3">
        <f t="shared" si="6"/>
        <v>0</v>
      </c>
      <c r="E143" s="1"/>
      <c r="F143" s="1"/>
      <c r="G143" s="3">
        <f t="shared" si="9"/>
        <v>0</v>
      </c>
      <c r="H143" s="1"/>
      <c r="I143" s="1"/>
      <c r="J143" s="34"/>
      <c r="K143" s="34"/>
      <c r="L143" s="34"/>
    </row>
    <row r="144" spans="1:12" ht="18" x14ac:dyDescent="0.3">
      <c r="A144" s="385"/>
      <c r="B144" s="52">
        <v>244</v>
      </c>
      <c r="C144" s="52">
        <v>226</v>
      </c>
      <c r="D144" s="3">
        <f t="shared" si="6"/>
        <v>0</v>
      </c>
      <c r="E144" s="1"/>
      <c r="F144" s="1"/>
      <c r="G144" s="3">
        <f t="shared" si="9"/>
        <v>0</v>
      </c>
      <c r="H144" s="1"/>
      <c r="I144" s="1"/>
      <c r="J144" s="34"/>
      <c r="K144" s="34"/>
      <c r="L144" s="34"/>
    </row>
    <row r="145" spans="1:12" ht="18" x14ac:dyDescent="0.3">
      <c r="A145" s="48" t="s">
        <v>25</v>
      </c>
      <c r="B145" s="52">
        <v>244</v>
      </c>
      <c r="C145" s="52">
        <v>227</v>
      </c>
      <c r="D145" s="3">
        <f t="shared" si="6"/>
        <v>0</v>
      </c>
      <c r="E145" s="1"/>
      <c r="F145" s="1"/>
      <c r="G145" s="3">
        <f t="shared" si="9"/>
        <v>0</v>
      </c>
      <c r="H145" s="1"/>
      <c r="I145" s="1"/>
      <c r="J145" s="34"/>
      <c r="K145" s="34"/>
      <c r="L145" s="34"/>
    </row>
    <row r="146" spans="1:12" ht="18" x14ac:dyDescent="0.3">
      <c r="A146" s="48" t="s">
        <v>30</v>
      </c>
      <c r="B146" s="52" t="s">
        <v>5</v>
      </c>
      <c r="C146" s="52">
        <v>290</v>
      </c>
      <c r="D146" s="3">
        <f t="shared" si="6"/>
        <v>0</v>
      </c>
      <c r="E146" s="1">
        <f>E148+E149</f>
        <v>0</v>
      </c>
      <c r="F146" s="1">
        <f>F148+F149</f>
        <v>0</v>
      </c>
      <c r="G146" s="3">
        <f t="shared" si="9"/>
        <v>0</v>
      </c>
      <c r="H146" s="1">
        <f>H148+H149</f>
        <v>0</v>
      </c>
      <c r="I146" s="1">
        <f>I148+I149</f>
        <v>0</v>
      </c>
      <c r="J146" s="34"/>
      <c r="K146" s="34"/>
      <c r="L146" s="34"/>
    </row>
    <row r="147" spans="1:12" ht="18" x14ac:dyDescent="0.3">
      <c r="A147" s="48" t="s">
        <v>9</v>
      </c>
      <c r="B147" s="52"/>
      <c r="C147" s="52"/>
      <c r="D147" s="3">
        <f t="shared" si="6"/>
        <v>0</v>
      </c>
      <c r="E147" s="1"/>
      <c r="F147" s="1"/>
      <c r="G147" s="3">
        <f t="shared" si="9"/>
        <v>0</v>
      </c>
      <c r="H147" s="1"/>
      <c r="I147" s="1"/>
      <c r="J147" s="34"/>
      <c r="K147" s="34"/>
      <c r="L147" s="34"/>
    </row>
    <row r="148" spans="1:12" ht="54" x14ac:dyDescent="0.3">
      <c r="A148" s="48" t="s">
        <v>34</v>
      </c>
      <c r="B148" s="52">
        <v>244</v>
      </c>
      <c r="C148" s="52">
        <v>296</v>
      </c>
      <c r="D148" s="3">
        <f t="shared" si="6"/>
        <v>0</v>
      </c>
      <c r="E148" s="1"/>
      <c r="F148" s="1"/>
      <c r="G148" s="3">
        <f t="shared" si="9"/>
        <v>0</v>
      </c>
      <c r="H148" s="1"/>
      <c r="I148" s="1"/>
      <c r="J148" s="34"/>
      <c r="K148" s="34"/>
      <c r="L148" s="34"/>
    </row>
    <row r="149" spans="1:12" ht="54" x14ac:dyDescent="0.3">
      <c r="A149" s="48" t="s">
        <v>35</v>
      </c>
      <c r="B149" s="52">
        <v>244</v>
      </c>
      <c r="C149" s="52">
        <v>297</v>
      </c>
      <c r="D149" s="3">
        <f t="shared" si="6"/>
        <v>0</v>
      </c>
      <c r="E149" s="1"/>
      <c r="F149" s="1"/>
      <c r="G149" s="3">
        <f t="shared" si="9"/>
        <v>0</v>
      </c>
      <c r="H149" s="1"/>
      <c r="I149" s="1"/>
      <c r="J149" s="34"/>
      <c r="K149" s="34"/>
      <c r="L149" s="34"/>
    </row>
    <row r="150" spans="1:12" ht="54" x14ac:dyDescent="0.3">
      <c r="A150" s="48" t="s">
        <v>59</v>
      </c>
      <c r="B150" s="52" t="s">
        <v>5</v>
      </c>
      <c r="C150" s="52">
        <v>300</v>
      </c>
      <c r="D150" s="3">
        <f t="shared" si="6"/>
        <v>0</v>
      </c>
      <c r="E150" s="1">
        <f>E152+E154+E153</f>
        <v>0</v>
      </c>
      <c r="F150" s="1">
        <f>F152+F154+F153</f>
        <v>0</v>
      </c>
      <c r="G150" s="3">
        <f t="shared" si="9"/>
        <v>0</v>
      </c>
      <c r="H150" s="1">
        <f>H152+H154+H153</f>
        <v>0</v>
      </c>
      <c r="I150" s="1">
        <f>I152+I154+I153</f>
        <v>0</v>
      </c>
      <c r="J150" s="34"/>
      <c r="K150" s="34"/>
      <c r="L150" s="34"/>
    </row>
    <row r="151" spans="1:12" ht="18" x14ac:dyDescent="0.3">
      <c r="A151" s="48" t="s">
        <v>9</v>
      </c>
      <c r="B151" s="52"/>
      <c r="C151" s="52"/>
      <c r="D151" s="3"/>
      <c r="E151" s="1"/>
      <c r="F151" s="1"/>
      <c r="G151" s="3"/>
      <c r="H151" s="1"/>
      <c r="I151" s="1"/>
      <c r="J151" s="34"/>
      <c r="K151" s="34"/>
      <c r="L151" s="34"/>
    </row>
    <row r="152" spans="1:12" ht="36" x14ac:dyDescent="0.3">
      <c r="A152" s="48" t="s">
        <v>36</v>
      </c>
      <c r="B152" s="52">
        <v>244</v>
      </c>
      <c r="C152" s="52">
        <v>310</v>
      </c>
      <c r="D152" s="3">
        <f t="shared" si="6"/>
        <v>0</v>
      </c>
      <c r="E152" s="1"/>
      <c r="F152" s="1"/>
      <c r="G152" s="3">
        <f>H152+I152</f>
        <v>0</v>
      </c>
      <c r="H152" s="1"/>
      <c r="I152" s="1"/>
      <c r="J152" s="34"/>
      <c r="K152" s="34"/>
      <c r="L152" s="34"/>
    </row>
    <row r="153" spans="1:12" ht="54" x14ac:dyDescent="0.3">
      <c r="A153" s="48" t="s">
        <v>68</v>
      </c>
      <c r="B153" s="52">
        <v>244</v>
      </c>
      <c r="C153" s="52">
        <v>320</v>
      </c>
      <c r="D153" s="3">
        <f t="shared" si="6"/>
        <v>0</v>
      </c>
      <c r="E153" s="1"/>
      <c r="F153" s="1"/>
      <c r="G153" s="3">
        <f>H153+I153</f>
        <v>0</v>
      </c>
      <c r="H153" s="1"/>
      <c r="I153" s="1"/>
      <c r="J153" s="34"/>
      <c r="K153" s="34"/>
      <c r="L153" s="34"/>
    </row>
    <row r="154" spans="1:12" ht="54" x14ac:dyDescent="0.3">
      <c r="A154" s="48" t="s">
        <v>60</v>
      </c>
      <c r="B154" s="52" t="s">
        <v>5</v>
      </c>
      <c r="C154" s="52">
        <v>340</v>
      </c>
      <c r="D154" s="3">
        <f t="shared" si="6"/>
        <v>0</v>
      </c>
      <c r="E154" s="1">
        <f>E156+E157+E158+E159+E160+E161+E162</f>
        <v>0</v>
      </c>
      <c r="F154" s="1">
        <f>F156+F157+F158+F159+F160+F161+F162</f>
        <v>0</v>
      </c>
      <c r="G154" s="3">
        <f>H154+I154</f>
        <v>0</v>
      </c>
      <c r="H154" s="1">
        <f>H156+H157+H158+H159+H160+H161+H162</f>
        <v>0</v>
      </c>
      <c r="I154" s="1">
        <f>I156+I157+I158+I159+I160+I161+I162</f>
        <v>0</v>
      </c>
      <c r="J154" s="34"/>
      <c r="K154" s="34"/>
      <c r="L154" s="34"/>
    </row>
    <row r="155" spans="1:12" ht="18" x14ac:dyDescent="0.3">
      <c r="A155" s="48" t="s">
        <v>6</v>
      </c>
      <c r="B155" s="52"/>
      <c r="C155" s="52"/>
      <c r="D155" s="3"/>
      <c r="E155" s="1"/>
      <c r="F155" s="1"/>
      <c r="G155" s="3"/>
      <c r="H155" s="1"/>
      <c r="I155" s="1"/>
      <c r="J155" s="34"/>
      <c r="K155" s="34"/>
      <c r="L155" s="34"/>
    </row>
    <row r="156" spans="1:12" ht="108" x14ac:dyDescent="0.3">
      <c r="A156" s="48" t="s">
        <v>37</v>
      </c>
      <c r="B156" s="52">
        <v>244</v>
      </c>
      <c r="C156" s="52">
        <v>341</v>
      </c>
      <c r="D156" s="3">
        <f t="shared" ref="D156:D162" si="10">E156+F156</f>
        <v>0</v>
      </c>
      <c r="E156" s="1"/>
      <c r="F156" s="1"/>
      <c r="G156" s="3">
        <f t="shared" ref="G156:G162" si="11">H156+I156</f>
        <v>0</v>
      </c>
      <c r="H156" s="1"/>
      <c r="I156" s="1"/>
      <c r="J156" s="34"/>
      <c r="K156" s="34"/>
      <c r="L156" s="34"/>
    </row>
    <row r="157" spans="1:12" ht="36" x14ac:dyDescent="0.3">
      <c r="A157" s="48" t="s">
        <v>38</v>
      </c>
      <c r="B157" s="52">
        <v>244</v>
      </c>
      <c r="C157" s="52">
        <v>342</v>
      </c>
      <c r="D157" s="3">
        <f t="shared" si="10"/>
        <v>0</v>
      </c>
      <c r="E157" s="1"/>
      <c r="F157" s="1"/>
      <c r="G157" s="3">
        <f t="shared" si="11"/>
        <v>0</v>
      </c>
      <c r="H157" s="1"/>
      <c r="I157" s="1"/>
      <c r="J157" s="34"/>
      <c r="K157" s="34"/>
      <c r="L157" s="34"/>
    </row>
    <row r="158" spans="1:12" ht="54" x14ac:dyDescent="0.3">
      <c r="A158" s="48" t="s">
        <v>39</v>
      </c>
      <c r="B158" s="52">
        <v>244</v>
      </c>
      <c r="C158" s="52">
        <v>343</v>
      </c>
      <c r="D158" s="3">
        <f t="shared" si="10"/>
        <v>0</v>
      </c>
      <c r="E158" s="1"/>
      <c r="F158" s="1"/>
      <c r="G158" s="3">
        <f t="shared" si="11"/>
        <v>0</v>
      </c>
      <c r="H158" s="1"/>
      <c r="I158" s="1"/>
      <c r="J158" s="34"/>
      <c r="K158" s="34"/>
      <c r="L158" s="34"/>
    </row>
    <row r="159" spans="1:12" ht="54" x14ac:dyDescent="0.3">
      <c r="A159" s="48" t="s">
        <v>40</v>
      </c>
      <c r="B159" s="52">
        <v>244</v>
      </c>
      <c r="C159" s="52">
        <v>344</v>
      </c>
      <c r="D159" s="3">
        <f t="shared" si="10"/>
        <v>0</v>
      </c>
      <c r="E159" s="1"/>
      <c r="F159" s="1"/>
      <c r="G159" s="3">
        <f t="shared" si="11"/>
        <v>0</v>
      </c>
      <c r="H159" s="1"/>
      <c r="I159" s="1"/>
      <c r="J159" s="34"/>
      <c r="K159" s="34"/>
      <c r="L159" s="34"/>
    </row>
    <row r="160" spans="1:12" ht="36" x14ac:dyDescent="0.3">
      <c r="A160" s="48" t="s">
        <v>41</v>
      </c>
      <c r="B160" s="52">
        <v>244</v>
      </c>
      <c r="C160" s="52">
        <v>345</v>
      </c>
      <c r="D160" s="3">
        <f t="shared" si="10"/>
        <v>0</v>
      </c>
      <c r="E160" s="1"/>
      <c r="F160" s="1"/>
      <c r="G160" s="3">
        <f t="shared" si="11"/>
        <v>0</v>
      </c>
      <c r="H160" s="1"/>
      <c r="I160" s="1"/>
      <c r="J160" s="34"/>
      <c r="K160" s="34"/>
      <c r="L160" s="34"/>
    </row>
    <row r="161" spans="1:12" ht="54" x14ac:dyDescent="0.3">
      <c r="A161" s="48" t="s">
        <v>42</v>
      </c>
      <c r="B161" s="52">
        <v>244</v>
      </c>
      <c r="C161" s="52">
        <v>346</v>
      </c>
      <c r="D161" s="3">
        <f t="shared" si="10"/>
        <v>0</v>
      </c>
      <c r="E161" s="1"/>
      <c r="F161" s="1"/>
      <c r="G161" s="3">
        <f t="shared" si="11"/>
        <v>0</v>
      </c>
      <c r="H161" s="1"/>
      <c r="I161" s="1"/>
      <c r="J161" s="34"/>
      <c r="K161" s="34"/>
      <c r="L161" s="34"/>
    </row>
    <row r="162" spans="1:12" ht="72" x14ac:dyDescent="0.3">
      <c r="A162" s="48" t="s">
        <v>43</v>
      </c>
      <c r="B162" s="52">
        <v>244</v>
      </c>
      <c r="C162" s="52">
        <v>349</v>
      </c>
      <c r="D162" s="3">
        <f t="shared" si="10"/>
        <v>0</v>
      </c>
      <c r="E162" s="1"/>
      <c r="F162" s="1"/>
      <c r="G162" s="3">
        <f t="shared" si="11"/>
        <v>0</v>
      </c>
      <c r="H162" s="1"/>
      <c r="I162" s="1"/>
      <c r="J162" s="34"/>
      <c r="K162" s="34"/>
      <c r="L162" s="34"/>
    </row>
    <row r="163" spans="1:12" ht="17.399999999999999" customHeight="1" x14ac:dyDescent="0.3">
      <c r="A163" s="565" t="s">
        <v>201</v>
      </c>
      <c r="B163" s="566"/>
      <c r="C163" s="566"/>
      <c r="D163" s="566"/>
      <c r="E163" s="566"/>
      <c r="F163" s="566"/>
      <c r="G163" s="566"/>
      <c r="H163" s="566"/>
      <c r="I163" s="566"/>
      <c r="J163" s="70"/>
      <c r="K163" s="70"/>
      <c r="L163" s="70"/>
    </row>
    <row r="164" spans="1:12" ht="18" x14ac:dyDescent="0.3">
      <c r="A164" s="48" t="s">
        <v>8</v>
      </c>
      <c r="B164" s="52" t="s">
        <v>5</v>
      </c>
      <c r="C164" s="52">
        <v>200</v>
      </c>
      <c r="D164" s="3">
        <f>E164+F164</f>
        <v>5303941.8999999994</v>
      </c>
      <c r="E164" s="1">
        <f>E166+E169+E188</f>
        <v>5303941.8999999994</v>
      </c>
      <c r="F164" s="1">
        <f>F166+F169+F188</f>
        <v>0</v>
      </c>
      <c r="G164" s="3">
        <f>H164+I164</f>
        <v>5303941.8999999994</v>
      </c>
      <c r="H164" s="1">
        <f>H166+H169+H188</f>
        <v>5303941.8999999994</v>
      </c>
      <c r="I164" s="1">
        <f>I166+I169+I188</f>
        <v>0</v>
      </c>
      <c r="J164" s="34"/>
      <c r="K164" s="34"/>
      <c r="L164" s="34"/>
    </row>
    <row r="165" spans="1:12" ht="18" x14ac:dyDescent="0.3">
      <c r="A165" s="48" t="s">
        <v>9</v>
      </c>
      <c r="B165" s="52"/>
      <c r="C165" s="52"/>
      <c r="D165" s="3"/>
      <c r="E165" s="1"/>
      <c r="F165" s="1"/>
      <c r="G165" s="3"/>
      <c r="H165" s="1"/>
      <c r="I165" s="1"/>
      <c r="J165" s="34"/>
      <c r="K165" s="34"/>
      <c r="L165" s="34"/>
    </row>
    <row r="166" spans="1:12" ht="54" x14ac:dyDescent="0.3">
      <c r="A166" s="48" t="s">
        <v>10</v>
      </c>
      <c r="B166" s="52" t="s">
        <v>5</v>
      </c>
      <c r="C166" s="52">
        <v>210</v>
      </c>
      <c r="D166" s="3">
        <f>E166+F166</f>
        <v>0</v>
      </c>
      <c r="E166" s="1">
        <f>E168</f>
        <v>0</v>
      </c>
      <c r="F166" s="1">
        <f>F168</f>
        <v>0</v>
      </c>
      <c r="G166" s="3">
        <f>H166+I166</f>
        <v>0</v>
      </c>
      <c r="H166" s="1">
        <f>H168</f>
        <v>0</v>
      </c>
      <c r="I166" s="1">
        <f>I168</f>
        <v>0</v>
      </c>
      <c r="J166" s="34"/>
      <c r="K166" s="34"/>
      <c r="L166" s="34"/>
    </row>
    <row r="167" spans="1:12" ht="18" x14ac:dyDescent="0.3">
      <c r="A167" s="48" t="s">
        <v>9</v>
      </c>
      <c r="B167" s="52"/>
      <c r="C167" s="52"/>
      <c r="D167" s="3"/>
      <c r="E167" s="1"/>
      <c r="F167" s="1"/>
      <c r="G167" s="3"/>
      <c r="H167" s="1"/>
      <c r="I167" s="1"/>
      <c r="J167" s="34"/>
      <c r="K167" s="34"/>
      <c r="L167" s="34"/>
    </row>
    <row r="168" spans="1:12" ht="54" x14ac:dyDescent="0.3">
      <c r="A168" s="48" t="s">
        <v>200</v>
      </c>
      <c r="B168" s="52">
        <v>244</v>
      </c>
      <c r="C168" s="52">
        <v>214</v>
      </c>
      <c r="D168" s="3">
        <f>E168+F168</f>
        <v>0</v>
      </c>
      <c r="E168" s="64">
        <f>E31-E126</f>
        <v>0</v>
      </c>
      <c r="F168" s="1"/>
      <c r="G168" s="3">
        <f>H168+I168</f>
        <v>0</v>
      </c>
      <c r="H168" s="64">
        <f>H31-H126</f>
        <v>0</v>
      </c>
      <c r="I168" s="1"/>
      <c r="J168" s="34"/>
      <c r="K168" s="34"/>
      <c r="L168" s="34"/>
    </row>
    <row r="169" spans="1:12" ht="36" x14ac:dyDescent="0.3">
      <c r="A169" s="48" t="s">
        <v>14</v>
      </c>
      <c r="B169" s="52" t="s">
        <v>5</v>
      </c>
      <c r="C169" s="52">
        <v>220</v>
      </c>
      <c r="D169" s="3">
        <f>E169+F169</f>
        <v>5303941.8999999994</v>
      </c>
      <c r="E169" s="1">
        <f>E171+E172+E173+E180+E181+E184+E187</f>
        <v>5303941.8999999994</v>
      </c>
      <c r="F169" s="1">
        <f>F171+F172+F173+F180+F181+F184+F187</f>
        <v>0</v>
      </c>
      <c r="G169" s="3">
        <f>H169+I169</f>
        <v>5303941.8999999994</v>
      </c>
      <c r="H169" s="1">
        <f>H171+H172+H173+H180+H181+H184+H187</f>
        <v>5303941.8999999994</v>
      </c>
      <c r="I169" s="1">
        <f>I171+I172+I173+I180+I181+I184+I187</f>
        <v>0</v>
      </c>
      <c r="J169" s="34"/>
      <c r="K169" s="34"/>
      <c r="L169" s="34"/>
    </row>
    <row r="170" spans="1:12" ht="18" x14ac:dyDescent="0.3">
      <c r="A170" s="48" t="s">
        <v>9</v>
      </c>
      <c r="B170" s="52"/>
      <c r="C170" s="52"/>
      <c r="D170" s="3"/>
      <c r="E170" s="1"/>
      <c r="F170" s="1"/>
      <c r="G170" s="3"/>
      <c r="H170" s="1"/>
      <c r="I170" s="1"/>
      <c r="J170" s="34"/>
      <c r="K170" s="34"/>
      <c r="L170" s="34"/>
    </row>
    <row r="171" spans="1:12" ht="18" x14ac:dyDescent="0.3">
      <c r="A171" s="48" t="s">
        <v>15</v>
      </c>
      <c r="B171" s="52">
        <v>244</v>
      </c>
      <c r="C171" s="52">
        <v>221</v>
      </c>
      <c r="D171" s="3">
        <f>E171+F171</f>
        <v>90630</v>
      </c>
      <c r="E171" s="1">
        <f>E34-E129</f>
        <v>90630</v>
      </c>
      <c r="F171" s="1"/>
      <c r="G171" s="3">
        <f>H171+I171</f>
        <v>90630</v>
      </c>
      <c r="H171" s="1">
        <f>H34-H129</f>
        <v>90630</v>
      </c>
      <c r="I171" s="1"/>
      <c r="J171" s="34"/>
      <c r="K171" s="34"/>
      <c r="L171" s="34"/>
    </row>
    <row r="172" spans="1:12" ht="36" x14ac:dyDescent="0.3">
      <c r="A172" s="48" t="s">
        <v>16</v>
      </c>
      <c r="B172" s="52">
        <v>244</v>
      </c>
      <c r="C172" s="52">
        <v>222</v>
      </c>
      <c r="D172" s="3">
        <f>E172+F172</f>
        <v>0</v>
      </c>
      <c r="E172" s="64">
        <f>E37-E130</f>
        <v>0</v>
      </c>
      <c r="F172" s="1"/>
      <c r="G172" s="3">
        <f>H172+I172</f>
        <v>0</v>
      </c>
      <c r="H172" s="64">
        <f>H37-H130</f>
        <v>0</v>
      </c>
      <c r="I172" s="1"/>
      <c r="J172" s="34"/>
      <c r="K172" s="34"/>
      <c r="L172" s="34"/>
    </row>
    <row r="173" spans="1:12" ht="18" x14ac:dyDescent="0.3">
      <c r="A173" s="48" t="s">
        <v>17</v>
      </c>
      <c r="B173" s="52" t="s">
        <v>5</v>
      </c>
      <c r="C173" s="52">
        <v>223</v>
      </c>
      <c r="D173" s="3">
        <f>E173+F173</f>
        <v>3296536.8299999996</v>
      </c>
      <c r="E173" s="1">
        <f>E175+E176+E177+E178+E179</f>
        <v>3296536.8299999996</v>
      </c>
      <c r="F173" s="1">
        <f>F175+F176+F177+F178+F179</f>
        <v>0</v>
      </c>
      <c r="G173" s="3">
        <f>H173+I173</f>
        <v>3296536.8299999996</v>
      </c>
      <c r="H173" s="1">
        <f>H175+H176+H177+H178+H179</f>
        <v>3296536.8299999996</v>
      </c>
      <c r="I173" s="1">
        <f>I175+I176+I177+I178+I179</f>
        <v>0</v>
      </c>
      <c r="J173" s="34"/>
      <c r="K173" s="34"/>
      <c r="L173" s="34"/>
    </row>
    <row r="174" spans="1:12" ht="18" x14ac:dyDescent="0.3">
      <c r="A174" s="48" t="s">
        <v>6</v>
      </c>
      <c r="B174" s="52"/>
      <c r="C174" s="52"/>
      <c r="D174" s="3"/>
      <c r="E174" s="1"/>
      <c r="F174" s="1"/>
      <c r="G174" s="3"/>
      <c r="H174" s="1"/>
      <c r="I174" s="1"/>
      <c r="J174" s="34"/>
      <c r="K174" s="34"/>
      <c r="L174" s="34"/>
    </row>
    <row r="175" spans="1:12" ht="36" x14ac:dyDescent="0.3">
      <c r="A175" s="48" t="s">
        <v>18</v>
      </c>
      <c r="B175" s="52">
        <v>244</v>
      </c>
      <c r="C175" s="52">
        <v>223</v>
      </c>
      <c r="D175" s="3">
        <f t="shared" ref="D175:D180" si="12">E175+F175</f>
        <v>2266736.38</v>
      </c>
      <c r="E175" s="1">
        <f t="shared" ref="E175:E180" si="13">E43-E133</f>
        <v>2266736.38</v>
      </c>
      <c r="F175" s="1"/>
      <c r="G175" s="3">
        <f t="shared" ref="G175:G180" si="14">H175+I175</f>
        <v>2266736.38</v>
      </c>
      <c r="H175" s="1">
        <f t="shared" ref="H175:H180" si="15">H43-H133</f>
        <v>2266736.38</v>
      </c>
      <c r="I175" s="1"/>
      <c r="J175" s="34"/>
      <c r="K175" s="34"/>
      <c r="L175" s="34"/>
    </row>
    <row r="176" spans="1:12" ht="36" x14ac:dyDescent="0.3">
      <c r="A176" s="48" t="s">
        <v>19</v>
      </c>
      <c r="B176" s="52">
        <v>244</v>
      </c>
      <c r="C176" s="52">
        <v>223</v>
      </c>
      <c r="D176" s="3">
        <f t="shared" si="12"/>
        <v>0</v>
      </c>
      <c r="E176" s="1">
        <f t="shared" si="13"/>
        <v>0</v>
      </c>
      <c r="F176" s="1"/>
      <c r="G176" s="3">
        <f t="shared" si="14"/>
        <v>0</v>
      </c>
      <c r="H176" s="1">
        <f t="shared" si="15"/>
        <v>0</v>
      </c>
      <c r="I176" s="1"/>
      <c r="J176" s="34"/>
      <c r="K176" s="34"/>
      <c r="L176" s="34"/>
    </row>
    <row r="177" spans="1:12" ht="36" x14ac:dyDescent="0.3">
      <c r="A177" s="48" t="s">
        <v>20</v>
      </c>
      <c r="B177" s="52">
        <v>244</v>
      </c>
      <c r="C177" s="52">
        <v>223</v>
      </c>
      <c r="D177" s="3">
        <f t="shared" si="12"/>
        <v>593608.81000000006</v>
      </c>
      <c r="E177" s="1">
        <f t="shared" si="13"/>
        <v>593608.81000000006</v>
      </c>
      <c r="F177" s="1"/>
      <c r="G177" s="3">
        <f t="shared" si="14"/>
        <v>593608.81000000006</v>
      </c>
      <c r="H177" s="1">
        <f t="shared" si="15"/>
        <v>593608.81000000006</v>
      </c>
      <c r="I177" s="1"/>
      <c r="J177" s="34"/>
      <c r="K177" s="34"/>
      <c r="L177" s="34"/>
    </row>
    <row r="178" spans="1:12" ht="54" x14ac:dyDescent="0.3">
      <c r="A178" s="48" t="s">
        <v>21</v>
      </c>
      <c r="B178" s="52">
        <v>244</v>
      </c>
      <c r="C178" s="52">
        <v>223</v>
      </c>
      <c r="D178" s="3">
        <f t="shared" si="12"/>
        <v>300673.09000000003</v>
      </c>
      <c r="E178" s="1">
        <f t="shared" si="13"/>
        <v>300673.09000000003</v>
      </c>
      <c r="F178" s="1"/>
      <c r="G178" s="3">
        <f t="shared" si="14"/>
        <v>300673.09000000003</v>
      </c>
      <c r="H178" s="1">
        <f t="shared" si="15"/>
        <v>300673.09000000003</v>
      </c>
      <c r="I178" s="1"/>
      <c r="J178" s="34"/>
      <c r="K178" s="34"/>
      <c r="L178" s="34"/>
    </row>
    <row r="179" spans="1:12" ht="36" x14ac:dyDescent="0.3">
      <c r="A179" s="48" t="s">
        <v>22</v>
      </c>
      <c r="B179" s="52">
        <v>244</v>
      </c>
      <c r="C179" s="52">
        <v>223</v>
      </c>
      <c r="D179" s="3">
        <f t="shared" si="12"/>
        <v>135518.54999999999</v>
      </c>
      <c r="E179" s="1">
        <f t="shared" si="13"/>
        <v>135518.54999999999</v>
      </c>
      <c r="F179" s="1"/>
      <c r="G179" s="3">
        <f t="shared" si="14"/>
        <v>135518.54999999999</v>
      </c>
      <c r="H179" s="1">
        <f t="shared" si="15"/>
        <v>135518.54999999999</v>
      </c>
      <c r="I179" s="1"/>
      <c r="J179" s="34"/>
      <c r="K179" s="34"/>
      <c r="L179" s="34"/>
    </row>
    <row r="180" spans="1:12" ht="126" x14ac:dyDescent="0.3">
      <c r="A180" s="48" t="s">
        <v>23</v>
      </c>
      <c r="B180" s="52">
        <v>244</v>
      </c>
      <c r="C180" s="52">
        <v>224</v>
      </c>
      <c r="D180" s="3">
        <f t="shared" si="12"/>
        <v>0</v>
      </c>
      <c r="E180" s="1">
        <f t="shared" si="13"/>
        <v>0</v>
      </c>
      <c r="F180" s="1"/>
      <c r="G180" s="3">
        <f t="shared" si="14"/>
        <v>0</v>
      </c>
      <c r="H180" s="1">
        <f t="shared" si="15"/>
        <v>0</v>
      </c>
      <c r="I180" s="1"/>
      <c r="J180" s="34"/>
      <c r="K180" s="34"/>
      <c r="L180" s="34"/>
    </row>
    <row r="181" spans="1:12" ht="54" x14ac:dyDescent="0.3">
      <c r="A181" s="48" t="s">
        <v>24</v>
      </c>
      <c r="B181" s="52" t="s">
        <v>5</v>
      </c>
      <c r="C181" s="52">
        <v>225</v>
      </c>
      <c r="D181" s="1">
        <f t="shared" ref="D181:I181" si="16">D182+D183</f>
        <v>173786.67</v>
      </c>
      <c r="E181" s="1">
        <f t="shared" si="16"/>
        <v>173786.67</v>
      </c>
      <c r="F181" s="1">
        <f t="shared" si="16"/>
        <v>0</v>
      </c>
      <c r="G181" s="1">
        <f t="shared" si="16"/>
        <v>173786.67</v>
      </c>
      <c r="H181" s="1">
        <f t="shared" si="16"/>
        <v>173786.67</v>
      </c>
      <c r="I181" s="1">
        <f t="shared" si="16"/>
        <v>0</v>
      </c>
      <c r="J181" s="34"/>
      <c r="K181" s="34"/>
      <c r="L181" s="34"/>
    </row>
    <row r="182" spans="1:12" ht="18" x14ac:dyDescent="0.3">
      <c r="A182" s="385" t="s">
        <v>6</v>
      </c>
      <c r="B182" s="52">
        <v>243</v>
      </c>
      <c r="C182" s="52">
        <v>225</v>
      </c>
      <c r="D182" s="3">
        <f t="shared" ref="D182:D192" si="17">E182+F182</f>
        <v>0</v>
      </c>
      <c r="E182" s="1">
        <f>E50-E140</f>
        <v>0</v>
      </c>
      <c r="F182" s="1"/>
      <c r="G182" s="3">
        <f t="shared" ref="G182:G192" si="18">H182+I182</f>
        <v>0</v>
      </c>
      <c r="H182" s="1">
        <f>H50-H140</f>
        <v>0</v>
      </c>
      <c r="I182" s="1"/>
      <c r="J182" s="34"/>
      <c r="K182" s="34"/>
      <c r="L182" s="34"/>
    </row>
    <row r="183" spans="1:12" ht="18" x14ac:dyDescent="0.3">
      <c r="A183" s="385"/>
      <c r="B183" s="52">
        <v>244</v>
      </c>
      <c r="C183" s="52">
        <v>225</v>
      </c>
      <c r="D183" s="3">
        <f t="shared" si="17"/>
        <v>173786.67</v>
      </c>
      <c r="E183" s="1">
        <f>E51-E141</f>
        <v>173786.67</v>
      </c>
      <c r="F183" s="1"/>
      <c r="G183" s="3">
        <f t="shared" si="18"/>
        <v>173786.67</v>
      </c>
      <c r="H183" s="1">
        <f>H51-H141</f>
        <v>173786.67</v>
      </c>
      <c r="I183" s="1"/>
      <c r="J183" s="34"/>
      <c r="K183" s="34"/>
      <c r="L183" s="34"/>
    </row>
    <row r="184" spans="1:12" ht="18" x14ac:dyDescent="0.3">
      <c r="A184" s="48" t="s">
        <v>58</v>
      </c>
      <c r="B184" s="52" t="s">
        <v>5</v>
      </c>
      <c r="C184" s="52">
        <v>226</v>
      </c>
      <c r="D184" s="3">
        <f t="shared" si="17"/>
        <v>1727988.4</v>
      </c>
      <c r="E184" s="1">
        <f>E185+E186</f>
        <v>1727988.4</v>
      </c>
      <c r="F184" s="1">
        <f>F185+F186</f>
        <v>0</v>
      </c>
      <c r="G184" s="3">
        <f t="shared" si="18"/>
        <v>1727988.4</v>
      </c>
      <c r="H184" s="1">
        <f>H185+H186</f>
        <v>1727988.4</v>
      </c>
      <c r="I184" s="1">
        <f>I185+I186</f>
        <v>0</v>
      </c>
      <c r="J184" s="34"/>
      <c r="K184" s="34"/>
      <c r="L184" s="34"/>
    </row>
    <row r="185" spans="1:12" ht="18" x14ac:dyDescent="0.3">
      <c r="A185" s="385" t="s">
        <v>6</v>
      </c>
      <c r="B185" s="52">
        <v>243</v>
      </c>
      <c r="C185" s="52">
        <v>226</v>
      </c>
      <c r="D185" s="3">
        <f t="shared" si="17"/>
        <v>0</v>
      </c>
      <c r="E185" s="1">
        <f>E56-E143</f>
        <v>0</v>
      </c>
      <c r="F185" s="1"/>
      <c r="G185" s="3">
        <f t="shared" si="18"/>
        <v>0</v>
      </c>
      <c r="H185" s="1">
        <f>H56-H143</f>
        <v>0</v>
      </c>
      <c r="I185" s="1"/>
      <c r="J185" s="34"/>
      <c r="K185" s="34"/>
      <c r="L185" s="34"/>
    </row>
    <row r="186" spans="1:12" ht="18" x14ac:dyDescent="0.3">
      <c r="A186" s="385"/>
      <c r="B186" s="52">
        <v>244</v>
      </c>
      <c r="C186" s="52">
        <v>226</v>
      </c>
      <c r="D186" s="3">
        <f t="shared" si="17"/>
        <v>1727988.4</v>
      </c>
      <c r="E186" s="1">
        <f>E57-E144</f>
        <v>1727988.4</v>
      </c>
      <c r="F186" s="1"/>
      <c r="G186" s="3">
        <f t="shared" si="18"/>
        <v>1727988.4</v>
      </c>
      <c r="H186" s="1">
        <f>H57-H144</f>
        <v>1727988.4</v>
      </c>
      <c r="I186" s="1"/>
      <c r="J186" s="34"/>
      <c r="K186" s="34"/>
      <c r="L186" s="34"/>
    </row>
    <row r="187" spans="1:12" ht="18" x14ac:dyDescent="0.3">
      <c r="A187" s="48" t="s">
        <v>25</v>
      </c>
      <c r="B187" s="52">
        <v>244</v>
      </c>
      <c r="C187" s="52">
        <v>227</v>
      </c>
      <c r="D187" s="3">
        <f t="shared" si="17"/>
        <v>15000</v>
      </c>
      <c r="E187" s="1">
        <f>E58-E145</f>
        <v>15000</v>
      </c>
      <c r="F187" s="1"/>
      <c r="G187" s="3">
        <f t="shared" si="18"/>
        <v>15000</v>
      </c>
      <c r="H187" s="1">
        <f>H58-H145</f>
        <v>15000</v>
      </c>
      <c r="I187" s="1"/>
      <c r="J187" s="34"/>
      <c r="K187" s="34"/>
      <c r="L187" s="34"/>
    </row>
    <row r="188" spans="1:12" ht="18" x14ac:dyDescent="0.3">
      <c r="A188" s="48" t="s">
        <v>30</v>
      </c>
      <c r="B188" s="52" t="s">
        <v>5</v>
      </c>
      <c r="C188" s="52">
        <v>290</v>
      </c>
      <c r="D188" s="3">
        <f t="shared" si="17"/>
        <v>0</v>
      </c>
      <c r="E188" s="1">
        <f>E190+E191</f>
        <v>0</v>
      </c>
      <c r="F188" s="1">
        <f>F190+F191</f>
        <v>0</v>
      </c>
      <c r="G188" s="3">
        <f t="shared" si="18"/>
        <v>0</v>
      </c>
      <c r="H188" s="1">
        <f>H190+H191</f>
        <v>0</v>
      </c>
      <c r="I188" s="1">
        <f>I190+I191</f>
        <v>0</v>
      </c>
      <c r="J188" s="34"/>
      <c r="K188" s="34"/>
      <c r="L188" s="34"/>
    </row>
    <row r="189" spans="1:12" ht="18" x14ac:dyDescent="0.3">
      <c r="A189" s="48" t="s">
        <v>9</v>
      </c>
      <c r="B189" s="52"/>
      <c r="C189" s="52"/>
      <c r="D189" s="3">
        <f t="shared" si="17"/>
        <v>0</v>
      </c>
      <c r="E189" s="1"/>
      <c r="F189" s="1"/>
      <c r="G189" s="3">
        <f t="shared" si="18"/>
        <v>0</v>
      </c>
      <c r="H189" s="1"/>
      <c r="I189" s="1"/>
      <c r="J189" s="34"/>
      <c r="K189" s="34"/>
      <c r="L189" s="34"/>
    </row>
    <row r="190" spans="1:12" ht="54" x14ac:dyDescent="0.3">
      <c r="A190" s="48" t="s">
        <v>34</v>
      </c>
      <c r="B190" s="52">
        <v>244</v>
      </c>
      <c r="C190" s="52">
        <v>296</v>
      </c>
      <c r="D190" s="3">
        <f t="shared" si="17"/>
        <v>0</v>
      </c>
      <c r="E190" s="1">
        <f>E76-E148</f>
        <v>0</v>
      </c>
      <c r="F190" s="1"/>
      <c r="G190" s="3">
        <f t="shared" si="18"/>
        <v>0</v>
      </c>
      <c r="H190" s="1">
        <f>H76-H148</f>
        <v>0</v>
      </c>
      <c r="I190" s="1"/>
      <c r="J190" s="34"/>
      <c r="K190" s="34"/>
      <c r="L190" s="34"/>
    </row>
    <row r="191" spans="1:12" ht="54" x14ac:dyDescent="0.3">
      <c r="A191" s="48" t="s">
        <v>35</v>
      </c>
      <c r="B191" s="52">
        <v>244</v>
      </c>
      <c r="C191" s="52">
        <v>297</v>
      </c>
      <c r="D191" s="3">
        <f t="shared" si="17"/>
        <v>0</v>
      </c>
      <c r="E191" s="1">
        <f>E83-E149</f>
        <v>0</v>
      </c>
      <c r="F191" s="1"/>
      <c r="G191" s="3">
        <f t="shared" si="18"/>
        <v>0</v>
      </c>
      <c r="H191" s="1">
        <f>H83-H149</f>
        <v>0</v>
      </c>
      <c r="I191" s="1"/>
      <c r="J191" s="34"/>
      <c r="K191" s="34"/>
      <c r="L191" s="34"/>
    </row>
    <row r="192" spans="1:12" ht="54" x14ac:dyDescent="0.3">
      <c r="A192" s="48" t="s">
        <v>59</v>
      </c>
      <c r="B192" s="52" t="s">
        <v>5</v>
      </c>
      <c r="C192" s="52">
        <v>300</v>
      </c>
      <c r="D192" s="3">
        <f t="shared" si="17"/>
        <v>391950</v>
      </c>
      <c r="E192" s="1">
        <f>E194+E196+E195</f>
        <v>391950</v>
      </c>
      <c r="F192" s="1">
        <f>F194+F196+F195</f>
        <v>0</v>
      </c>
      <c r="G192" s="3">
        <f t="shared" si="18"/>
        <v>391950</v>
      </c>
      <c r="H192" s="1">
        <f>H194+H196+H195</f>
        <v>391950</v>
      </c>
      <c r="I192" s="1">
        <f>I194+I196+I195</f>
        <v>0</v>
      </c>
      <c r="J192" s="34"/>
      <c r="K192" s="34"/>
      <c r="L192" s="34"/>
    </row>
    <row r="193" spans="1:12" ht="18" x14ac:dyDescent="0.3">
      <c r="A193" s="48" t="s">
        <v>9</v>
      </c>
      <c r="B193" s="52"/>
      <c r="C193" s="52"/>
      <c r="D193" s="3"/>
      <c r="E193" s="1"/>
      <c r="F193" s="1"/>
      <c r="G193" s="3"/>
      <c r="H193" s="1"/>
      <c r="I193" s="1"/>
      <c r="J193" s="34"/>
      <c r="K193" s="34"/>
      <c r="L193" s="34"/>
    </row>
    <row r="194" spans="1:12" ht="36" x14ac:dyDescent="0.3">
      <c r="A194" s="48" t="s">
        <v>36</v>
      </c>
      <c r="B194" s="52">
        <v>244</v>
      </c>
      <c r="C194" s="52">
        <v>310</v>
      </c>
      <c r="D194" s="3">
        <f>E194+F194</f>
        <v>0</v>
      </c>
      <c r="E194" s="1">
        <f>E89-E152</f>
        <v>0</v>
      </c>
      <c r="F194" s="1"/>
      <c r="G194" s="3">
        <f>H194+I194</f>
        <v>0</v>
      </c>
      <c r="H194" s="1">
        <f>H89-H152</f>
        <v>0</v>
      </c>
      <c r="I194" s="1"/>
      <c r="J194" s="34"/>
      <c r="K194" s="34"/>
      <c r="L194" s="34"/>
    </row>
    <row r="195" spans="1:12" ht="54" x14ac:dyDescent="0.3">
      <c r="A195" s="48" t="s">
        <v>68</v>
      </c>
      <c r="B195" s="52">
        <v>244</v>
      </c>
      <c r="C195" s="52">
        <v>320</v>
      </c>
      <c r="D195" s="3">
        <f>E195+F195</f>
        <v>0</v>
      </c>
      <c r="E195" s="1">
        <f>E90-E153</f>
        <v>0</v>
      </c>
      <c r="F195" s="1"/>
      <c r="G195" s="3">
        <f>H195+I195</f>
        <v>0</v>
      </c>
      <c r="H195" s="1">
        <f>H90-H153</f>
        <v>0</v>
      </c>
      <c r="I195" s="1"/>
      <c r="J195" s="34"/>
      <c r="K195" s="34"/>
      <c r="L195" s="34"/>
    </row>
    <row r="196" spans="1:12" ht="54" x14ac:dyDescent="0.3">
      <c r="A196" s="48" t="s">
        <v>60</v>
      </c>
      <c r="B196" s="52" t="s">
        <v>5</v>
      </c>
      <c r="C196" s="52">
        <v>340</v>
      </c>
      <c r="D196" s="3">
        <f>E196+F196</f>
        <v>391950</v>
      </c>
      <c r="E196" s="1">
        <f>E198+E199+E200+E201+E202+E203+E204</f>
        <v>391950</v>
      </c>
      <c r="F196" s="1">
        <f>F198+F199+F200+F201+F202+F203+F204</f>
        <v>0</v>
      </c>
      <c r="G196" s="3">
        <f>H196+I196</f>
        <v>391950</v>
      </c>
      <c r="H196" s="1">
        <f>H198+H199+H200+H201+H202+H203+H204</f>
        <v>391950</v>
      </c>
      <c r="I196" s="1">
        <f>I198+I199+I200+I201+I202+I203+I204</f>
        <v>0</v>
      </c>
      <c r="J196" s="34"/>
      <c r="K196" s="34"/>
      <c r="L196" s="34"/>
    </row>
    <row r="197" spans="1:12" ht="18" x14ac:dyDescent="0.3">
      <c r="A197" s="48" t="s">
        <v>6</v>
      </c>
      <c r="B197" s="52"/>
      <c r="C197" s="52"/>
      <c r="D197" s="3"/>
      <c r="E197" s="1"/>
      <c r="F197" s="1"/>
      <c r="G197" s="3"/>
      <c r="H197" s="1"/>
      <c r="I197" s="1"/>
      <c r="J197" s="34"/>
      <c r="K197" s="34"/>
      <c r="L197" s="34"/>
    </row>
    <row r="198" spans="1:12" ht="108" x14ac:dyDescent="0.3">
      <c r="A198" s="48" t="s">
        <v>37</v>
      </c>
      <c r="B198" s="52">
        <v>244</v>
      </c>
      <c r="C198" s="52">
        <v>341</v>
      </c>
      <c r="D198" s="3">
        <f t="shared" ref="D198:D204" si="19">E198+F198</f>
        <v>0</v>
      </c>
      <c r="E198" s="1">
        <f t="shared" ref="E198:E203" si="20">E93-E156</f>
        <v>0</v>
      </c>
      <c r="F198" s="1"/>
      <c r="G198" s="3">
        <f t="shared" ref="G198:G204" si="21">H198+I198</f>
        <v>0</v>
      </c>
      <c r="H198" s="1">
        <f t="shared" ref="H198:H203" si="22">H93-H156</f>
        <v>0</v>
      </c>
      <c r="I198" s="1"/>
      <c r="J198" s="34"/>
      <c r="K198" s="34"/>
      <c r="L198" s="34"/>
    </row>
    <row r="199" spans="1:12" ht="36" x14ac:dyDescent="0.3">
      <c r="A199" s="48" t="s">
        <v>38</v>
      </c>
      <c r="B199" s="52">
        <v>244</v>
      </c>
      <c r="C199" s="52">
        <v>342</v>
      </c>
      <c r="D199" s="3">
        <f t="shared" si="19"/>
        <v>0</v>
      </c>
      <c r="E199" s="1">
        <f t="shared" si="20"/>
        <v>0</v>
      </c>
      <c r="F199" s="1"/>
      <c r="G199" s="3">
        <f t="shared" si="21"/>
        <v>0</v>
      </c>
      <c r="H199" s="1">
        <f t="shared" si="22"/>
        <v>0</v>
      </c>
      <c r="I199" s="1"/>
      <c r="J199" s="34"/>
      <c r="K199" s="34"/>
      <c r="L199" s="34"/>
    </row>
    <row r="200" spans="1:12" ht="54" x14ac:dyDescent="0.3">
      <c r="A200" s="48" t="s">
        <v>39</v>
      </c>
      <c r="B200" s="52">
        <v>244</v>
      </c>
      <c r="C200" s="52">
        <v>343</v>
      </c>
      <c r="D200" s="3">
        <f t="shared" si="19"/>
        <v>0</v>
      </c>
      <c r="E200" s="1">
        <f t="shared" si="20"/>
        <v>0</v>
      </c>
      <c r="F200" s="1"/>
      <c r="G200" s="3">
        <f t="shared" si="21"/>
        <v>0</v>
      </c>
      <c r="H200" s="1">
        <f t="shared" si="22"/>
        <v>0</v>
      </c>
      <c r="I200" s="1"/>
      <c r="J200" s="34"/>
      <c r="K200" s="34"/>
      <c r="L200" s="34"/>
    </row>
    <row r="201" spans="1:12" ht="54" x14ac:dyDescent="0.3">
      <c r="A201" s="48" t="s">
        <v>40</v>
      </c>
      <c r="B201" s="52">
        <v>244</v>
      </c>
      <c r="C201" s="52">
        <v>344</v>
      </c>
      <c r="D201" s="3">
        <f t="shared" si="19"/>
        <v>0</v>
      </c>
      <c r="E201" s="1">
        <f t="shared" si="20"/>
        <v>0</v>
      </c>
      <c r="F201" s="1"/>
      <c r="G201" s="3">
        <f t="shared" si="21"/>
        <v>0</v>
      </c>
      <c r="H201" s="1">
        <f t="shared" si="22"/>
        <v>0</v>
      </c>
      <c r="I201" s="1"/>
      <c r="J201" s="34"/>
      <c r="K201" s="34"/>
      <c r="L201" s="34"/>
    </row>
    <row r="202" spans="1:12" ht="36" x14ac:dyDescent="0.3">
      <c r="A202" s="48" t="s">
        <v>41</v>
      </c>
      <c r="B202" s="52">
        <v>244</v>
      </c>
      <c r="C202" s="52">
        <v>345</v>
      </c>
      <c r="D202" s="3">
        <f t="shared" si="19"/>
        <v>0</v>
      </c>
      <c r="E202" s="1">
        <f t="shared" si="20"/>
        <v>0</v>
      </c>
      <c r="F202" s="1"/>
      <c r="G202" s="3">
        <f t="shared" si="21"/>
        <v>0</v>
      </c>
      <c r="H202" s="1">
        <f t="shared" si="22"/>
        <v>0</v>
      </c>
      <c r="I202" s="1"/>
      <c r="J202" s="34"/>
      <c r="K202" s="34"/>
      <c r="L202" s="34"/>
    </row>
    <row r="203" spans="1:12" ht="54" x14ac:dyDescent="0.3">
      <c r="A203" s="48" t="s">
        <v>42</v>
      </c>
      <c r="B203" s="52">
        <v>244</v>
      </c>
      <c r="C203" s="52">
        <v>346</v>
      </c>
      <c r="D203" s="3">
        <f t="shared" si="19"/>
        <v>391950</v>
      </c>
      <c r="E203" s="1">
        <f t="shared" si="20"/>
        <v>391950</v>
      </c>
      <c r="F203" s="1"/>
      <c r="G203" s="3">
        <f t="shared" si="21"/>
        <v>391950</v>
      </c>
      <c r="H203" s="1">
        <f t="shared" si="22"/>
        <v>391950</v>
      </c>
      <c r="I203" s="1"/>
      <c r="J203" s="34"/>
      <c r="K203" s="34"/>
      <c r="L203" s="34"/>
    </row>
    <row r="204" spans="1:12" ht="72" x14ac:dyDescent="0.3">
      <c r="A204" s="48" t="s">
        <v>43</v>
      </c>
      <c r="B204" s="52">
        <v>244</v>
      </c>
      <c r="C204" s="52">
        <v>349</v>
      </c>
      <c r="D204" s="3">
        <f t="shared" si="19"/>
        <v>0</v>
      </c>
      <c r="E204" s="1">
        <f>E100-E162</f>
        <v>0</v>
      </c>
      <c r="F204" s="1"/>
      <c r="G204" s="3">
        <f t="shared" si="21"/>
        <v>0</v>
      </c>
      <c r="H204" s="1">
        <f>H100-H162</f>
        <v>0</v>
      </c>
      <c r="I204" s="1"/>
      <c r="J204" s="34"/>
      <c r="K204" s="34"/>
      <c r="L204" s="34"/>
    </row>
  </sheetData>
  <mergeCells count="39">
    <mergeCell ref="N117:P117"/>
    <mergeCell ref="A117:I117"/>
    <mergeCell ref="A182:A183"/>
    <mergeCell ref="A185:A186"/>
    <mergeCell ref="A121:I121"/>
    <mergeCell ref="A163:I163"/>
    <mergeCell ref="K117:M117"/>
    <mergeCell ref="A140:A141"/>
    <mergeCell ref="A143:A144"/>
    <mergeCell ref="E114:F114"/>
    <mergeCell ref="A116:B116"/>
    <mergeCell ref="E108:F108"/>
    <mergeCell ref="E111:F111"/>
    <mergeCell ref="E113:F113"/>
    <mergeCell ref="C113:D113"/>
    <mergeCell ref="A113:B113"/>
    <mergeCell ref="G5:G6"/>
    <mergeCell ref="H5:I5"/>
    <mergeCell ref="E5:F5"/>
    <mergeCell ref="A2:I2"/>
    <mergeCell ref="A1:I1"/>
    <mergeCell ref="A5:A6"/>
    <mergeCell ref="B5:B6"/>
    <mergeCell ref="C5:C6"/>
    <mergeCell ref="D5:D6"/>
    <mergeCell ref="E107:F107"/>
    <mergeCell ref="E110:F110"/>
    <mergeCell ref="A30:A31"/>
    <mergeCell ref="A36:A37"/>
    <mergeCell ref="A50:A51"/>
    <mergeCell ref="A53:A57"/>
    <mergeCell ref="A63:A64"/>
    <mergeCell ref="A69:A71"/>
    <mergeCell ref="A76:A81"/>
    <mergeCell ref="A83:A86"/>
    <mergeCell ref="C107:D107"/>
    <mergeCell ref="C110:D110"/>
    <mergeCell ref="A107:B107"/>
    <mergeCell ref="A110:B110"/>
  </mergeCells>
  <pageMargins left="0.39370078740157483" right="0.39370078740157483" top="1.3779527559055118" bottom="0.39370078740157483" header="0.31496062992125984" footer="0.31496062992125984"/>
  <pageSetup paperSize="9" scale="70" fitToWidth="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17"/>
  <sheetViews>
    <sheetView view="pageLayout" topLeftCell="A103" zoomScale="80" zoomScaleNormal="100" zoomScalePageLayoutView="80" workbookViewId="0">
      <selection activeCell="C116" sqref="C116"/>
    </sheetView>
  </sheetViews>
  <sheetFormatPr defaultColWidth="8.88671875" defaultRowHeight="14.4" x14ac:dyDescent="0.3"/>
  <cols>
    <col min="1" max="1" width="27.44140625" style="5" customWidth="1"/>
    <col min="2" max="2" width="17.33203125" style="5" customWidth="1"/>
    <col min="3" max="3" width="16" style="5" customWidth="1"/>
    <col min="4" max="4" width="19.109375" style="5" customWidth="1"/>
    <col min="5" max="5" width="21.6640625" style="5" customWidth="1"/>
    <col min="6" max="6" width="21.33203125" style="5" customWidth="1"/>
    <col min="7" max="7" width="18.5546875" style="5" customWidth="1"/>
    <col min="8" max="8" width="21.5546875" style="5" customWidth="1"/>
    <col min="9" max="9" width="21.44140625" style="5" customWidth="1"/>
    <col min="10" max="16384" width="8.88671875" style="5"/>
  </cols>
  <sheetData>
    <row r="1" spans="1:9" ht="17.399999999999999" x14ac:dyDescent="0.3">
      <c r="A1" s="384" t="s">
        <v>260</v>
      </c>
      <c r="B1" s="384"/>
      <c r="C1" s="384"/>
      <c r="D1" s="384"/>
      <c r="E1" s="384"/>
      <c r="F1" s="384"/>
      <c r="G1" s="384"/>
      <c r="H1" s="384"/>
      <c r="I1" s="384"/>
    </row>
    <row r="2" spans="1:9" ht="17.399999999999999" x14ac:dyDescent="0.3">
      <c r="A2" s="384" t="s">
        <v>473</v>
      </c>
      <c r="B2" s="384"/>
      <c r="C2" s="384"/>
      <c r="D2" s="384"/>
      <c r="E2" s="384"/>
      <c r="F2" s="384"/>
      <c r="G2" s="384"/>
      <c r="H2" s="384"/>
      <c r="I2" s="384"/>
    </row>
    <row r="3" spans="1:9" ht="15" x14ac:dyDescent="0.3">
      <c r="A3" s="28"/>
    </row>
    <row r="4" spans="1:9" ht="18" x14ac:dyDescent="0.3">
      <c r="A4" s="4"/>
      <c r="F4" s="4" t="s">
        <v>51</v>
      </c>
      <c r="G4" s="4"/>
    </row>
    <row r="5" spans="1:9" ht="30.6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454</v>
      </c>
      <c r="F5" s="404"/>
      <c r="G5" s="404" t="s">
        <v>1</v>
      </c>
      <c r="H5" s="404" t="s">
        <v>472</v>
      </c>
      <c r="I5" s="404"/>
    </row>
    <row r="6" spans="1:9" ht="15.6" x14ac:dyDescent="0.3">
      <c r="A6" s="405"/>
      <c r="B6" s="404"/>
      <c r="C6" s="406"/>
      <c r="D6" s="404"/>
      <c r="E6" s="404" t="s">
        <v>6</v>
      </c>
      <c r="F6" s="404"/>
      <c r="G6" s="404"/>
      <c r="H6" s="404" t="s">
        <v>6</v>
      </c>
      <c r="I6" s="404"/>
    </row>
    <row r="7" spans="1:9" ht="212.4" customHeight="1" x14ac:dyDescent="0.3">
      <c r="A7" s="405"/>
      <c r="B7" s="404"/>
      <c r="C7" s="406"/>
      <c r="D7" s="404"/>
      <c r="E7" s="229" t="s">
        <v>197</v>
      </c>
      <c r="F7" s="229" t="s">
        <v>198</v>
      </c>
      <c r="G7" s="404"/>
      <c r="H7" s="229" t="s">
        <v>197</v>
      </c>
      <c r="I7" s="229" t="s">
        <v>198</v>
      </c>
    </row>
    <row r="8" spans="1:9" ht="18" x14ac:dyDescent="0.3">
      <c r="A8" s="231">
        <v>1</v>
      </c>
      <c r="B8" s="231">
        <v>2</v>
      </c>
      <c r="C8" s="231">
        <v>3</v>
      </c>
      <c r="D8" s="231">
        <v>4</v>
      </c>
      <c r="E8" s="231">
        <v>5</v>
      </c>
      <c r="F8" s="231">
        <v>6</v>
      </c>
      <c r="G8" s="231">
        <v>7</v>
      </c>
      <c r="H8" s="231">
        <v>8</v>
      </c>
      <c r="I8" s="231">
        <v>9</v>
      </c>
    </row>
    <row r="9" spans="1:9" ht="108" x14ac:dyDescent="0.3">
      <c r="A9" s="230" t="s">
        <v>69</v>
      </c>
      <c r="B9" s="231" t="s">
        <v>5</v>
      </c>
      <c r="C9" s="231" t="s">
        <v>5</v>
      </c>
      <c r="D9" s="3">
        <f>E9+F9</f>
        <v>5695891.9000000004</v>
      </c>
      <c r="E9" s="1">
        <v>5695891.9000000004</v>
      </c>
      <c r="F9" s="1"/>
      <c r="G9" s="3">
        <f>H9+I9</f>
        <v>5695891.9000000004</v>
      </c>
      <c r="H9" s="1">
        <v>5695891.9000000004</v>
      </c>
      <c r="I9" s="1"/>
    </row>
    <row r="10" spans="1:9" ht="18" x14ac:dyDescent="0.3">
      <c r="A10" s="230" t="s">
        <v>7</v>
      </c>
      <c r="B10" s="231" t="s">
        <v>5</v>
      </c>
      <c r="C10" s="231">
        <v>900</v>
      </c>
      <c r="D10" s="3">
        <f>E10+F10</f>
        <v>5695891.8999999994</v>
      </c>
      <c r="E10" s="1">
        <f>E13+E45+E60+E92</f>
        <v>5695891.8999999994</v>
      </c>
      <c r="F10" s="1">
        <f>F13+F45+F60+F92</f>
        <v>0</v>
      </c>
      <c r="G10" s="3">
        <f>H10+I10</f>
        <v>5695891.8999999994</v>
      </c>
      <c r="H10" s="1">
        <f>H13+H45+H60+H92</f>
        <v>5695891.8999999994</v>
      </c>
      <c r="I10" s="1">
        <f>I13+I45+I60+I92</f>
        <v>0</v>
      </c>
    </row>
    <row r="11" spans="1:9" ht="18" x14ac:dyDescent="0.3">
      <c r="A11" s="230" t="s">
        <v>6</v>
      </c>
      <c r="B11" s="231"/>
      <c r="C11" s="231"/>
      <c r="D11" s="3"/>
      <c r="E11" s="1"/>
      <c r="F11" s="1"/>
      <c r="G11" s="3"/>
      <c r="H11" s="1"/>
      <c r="I11" s="1"/>
    </row>
    <row r="12" spans="1:9" ht="33.6" customHeight="1" x14ac:dyDescent="0.3">
      <c r="A12" s="403" t="s">
        <v>199</v>
      </c>
      <c r="B12" s="403"/>
      <c r="C12" s="403"/>
      <c r="D12" s="403"/>
      <c r="E12" s="403"/>
      <c r="F12" s="403"/>
      <c r="G12" s="403"/>
      <c r="H12" s="403"/>
      <c r="I12" s="403"/>
    </row>
    <row r="13" spans="1:9" ht="18" x14ac:dyDescent="0.3">
      <c r="A13" s="230" t="s">
        <v>8</v>
      </c>
      <c r="B13" s="231" t="s">
        <v>5</v>
      </c>
      <c r="C13" s="231">
        <v>200</v>
      </c>
      <c r="D13" s="3">
        <f t="shared" ref="D13:D49" si="0">E13+F13</f>
        <v>0</v>
      </c>
      <c r="E13" s="1">
        <f>E15+E18+E41</f>
        <v>0</v>
      </c>
      <c r="F13" s="1">
        <f>F15+F18+F41</f>
        <v>0</v>
      </c>
      <c r="G13" s="3">
        <f>H13+I13</f>
        <v>0</v>
      </c>
      <c r="H13" s="1">
        <f>H15+H18+H41</f>
        <v>0</v>
      </c>
      <c r="I13" s="1">
        <f>I15+I18+I41</f>
        <v>0</v>
      </c>
    </row>
    <row r="14" spans="1:9" ht="14.4" customHeight="1" x14ac:dyDescent="0.3">
      <c r="A14" s="230" t="s">
        <v>9</v>
      </c>
      <c r="B14" s="231"/>
      <c r="C14" s="231"/>
      <c r="D14" s="3"/>
      <c r="E14" s="1"/>
      <c r="F14" s="1"/>
      <c r="G14" s="3"/>
      <c r="H14" s="1"/>
      <c r="I14" s="1"/>
    </row>
    <row r="15" spans="1:9" ht="54" x14ac:dyDescent="0.3">
      <c r="A15" s="230" t="s">
        <v>10</v>
      </c>
      <c r="B15" s="231" t="s">
        <v>5</v>
      </c>
      <c r="C15" s="231">
        <v>210</v>
      </c>
      <c r="D15" s="3">
        <f t="shared" si="0"/>
        <v>0</v>
      </c>
      <c r="E15" s="1">
        <f>E17</f>
        <v>0</v>
      </c>
      <c r="F15" s="1">
        <f>F17</f>
        <v>0</v>
      </c>
      <c r="G15" s="3">
        <f>H15+I15</f>
        <v>0</v>
      </c>
      <c r="H15" s="1">
        <f>H17</f>
        <v>0</v>
      </c>
      <c r="I15" s="1">
        <f>I17</f>
        <v>0</v>
      </c>
    </row>
    <row r="16" spans="1:9" ht="18" x14ac:dyDescent="0.3">
      <c r="A16" s="230" t="s">
        <v>9</v>
      </c>
      <c r="B16" s="231"/>
      <c r="C16" s="231"/>
      <c r="D16" s="3"/>
      <c r="E16" s="1"/>
      <c r="F16" s="1"/>
      <c r="G16" s="3"/>
      <c r="H16" s="1"/>
      <c r="I16" s="1"/>
    </row>
    <row r="17" spans="1:9" ht="58.95" customHeight="1" x14ac:dyDescent="0.3">
      <c r="A17" s="230" t="s">
        <v>200</v>
      </c>
      <c r="B17" s="231">
        <v>244</v>
      </c>
      <c r="C17" s="231">
        <v>214</v>
      </c>
      <c r="D17" s="3">
        <f>E17+F17</f>
        <v>0</v>
      </c>
      <c r="E17" s="1">
        <f>'гос.задание на 2023-2024 год '!E126</f>
        <v>0</v>
      </c>
      <c r="F17" s="1">
        <f>'гос.задание на 2023-2024 год '!F126</f>
        <v>0</v>
      </c>
      <c r="G17" s="3">
        <f>H17+I17</f>
        <v>0</v>
      </c>
      <c r="H17" s="1">
        <f>'гос.задание на 2023-2024 год '!H126</f>
        <v>0</v>
      </c>
      <c r="I17" s="1">
        <f>'гос.задание на 2023-2024 год '!I126</f>
        <v>0</v>
      </c>
    </row>
    <row r="18" spans="1:9" ht="36" x14ac:dyDescent="0.3">
      <c r="A18" s="230" t="s">
        <v>14</v>
      </c>
      <c r="B18" s="231" t="s">
        <v>5</v>
      </c>
      <c r="C18" s="231">
        <v>220</v>
      </c>
      <c r="D18" s="3">
        <f t="shared" si="0"/>
        <v>0</v>
      </c>
      <c r="E18" s="1">
        <f>E20+E21+E22+E32+E33+E36+E39</f>
        <v>0</v>
      </c>
      <c r="F18" s="1">
        <f>F20+F21+F22+F32+F33+F36+F39</f>
        <v>0</v>
      </c>
      <c r="G18" s="3">
        <f>H18+I18</f>
        <v>0</v>
      </c>
      <c r="H18" s="1">
        <f>H20+H21+H22+H32+H33+H36+H39</f>
        <v>0</v>
      </c>
      <c r="I18" s="1">
        <f>I20+I21+I22+I32+I33+I36+I39</f>
        <v>0</v>
      </c>
    </row>
    <row r="19" spans="1:9" ht="18" x14ac:dyDescent="0.3">
      <c r="A19" s="230" t="s">
        <v>9</v>
      </c>
      <c r="B19" s="231"/>
      <c r="C19" s="231"/>
      <c r="D19" s="3"/>
      <c r="E19" s="1"/>
      <c r="F19" s="1"/>
      <c r="G19" s="3"/>
      <c r="H19" s="1"/>
      <c r="I19" s="1"/>
    </row>
    <row r="20" spans="1:9" ht="18" x14ac:dyDescent="0.3">
      <c r="A20" s="230" t="s">
        <v>15</v>
      </c>
      <c r="B20" s="231">
        <v>244</v>
      </c>
      <c r="C20" s="231">
        <v>221</v>
      </c>
      <c r="D20" s="3">
        <f t="shared" si="0"/>
        <v>0</v>
      </c>
      <c r="E20" s="1">
        <f>'гос.задание на 2023-2024 год '!E129</f>
        <v>0</v>
      </c>
      <c r="F20" s="1">
        <f>'гос.задание на 2023-2024 год '!F129</f>
        <v>0</v>
      </c>
      <c r="G20" s="3">
        <f>H20+I20</f>
        <v>0</v>
      </c>
      <c r="H20" s="1">
        <f>'гос.задание на 2023-2024 год '!H129</f>
        <v>0</v>
      </c>
      <c r="I20" s="1">
        <f>'гос.задание на 2023-2024 год '!I129</f>
        <v>0</v>
      </c>
    </row>
    <row r="21" spans="1:9" ht="36" x14ac:dyDescent="0.3">
      <c r="A21" s="230" t="s">
        <v>16</v>
      </c>
      <c r="B21" s="231">
        <v>244</v>
      </c>
      <c r="C21" s="231">
        <v>222</v>
      </c>
      <c r="D21" s="3">
        <f t="shared" si="0"/>
        <v>0</v>
      </c>
      <c r="E21" s="1">
        <f>'гос.задание на 2023-2024 год '!E130</f>
        <v>0</v>
      </c>
      <c r="F21" s="1">
        <f>'гос.задание на 2023-2024 год '!F130</f>
        <v>0</v>
      </c>
      <c r="G21" s="3">
        <f>H21+I21</f>
        <v>0</v>
      </c>
      <c r="H21" s="1">
        <f>'гос.задание на 2023-2024 год '!H130</f>
        <v>0</v>
      </c>
      <c r="I21" s="1">
        <f>'гос.задание на 2023-2024 год '!I130</f>
        <v>0</v>
      </c>
    </row>
    <row r="22" spans="1:9" ht="22.5" customHeight="1" x14ac:dyDescent="0.3">
      <c r="A22" s="230" t="s">
        <v>17</v>
      </c>
      <c r="B22" s="231" t="s">
        <v>5</v>
      </c>
      <c r="C22" s="231">
        <v>223</v>
      </c>
      <c r="D22" s="3">
        <f t="shared" si="0"/>
        <v>0</v>
      </c>
      <c r="E22" s="1">
        <f>E27+E28+E29+E30+E31</f>
        <v>0</v>
      </c>
      <c r="F22" s="1">
        <f>F27+F28+F29+F30+F31</f>
        <v>0</v>
      </c>
      <c r="G22" s="3">
        <f>H22+I22</f>
        <v>0</v>
      </c>
      <c r="H22" s="1">
        <f>H27+H28+H29+H30+H31</f>
        <v>0</v>
      </c>
      <c r="I22" s="1">
        <f>I27+I28+I29+I30+I31</f>
        <v>0</v>
      </c>
    </row>
    <row r="23" spans="1:9" ht="18" x14ac:dyDescent="0.3">
      <c r="A23" s="230" t="s">
        <v>6</v>
      </c>
      <c r="B23" s="231"/>
      <c r="C23" s="231"/>
      <c r="D23" s="3"/>
      <c r="E23" s="1"/>
      <c r="F23" s="1"/>
      <c r="G23" s="3"/>
      <c r="H23" s="1"/>
      <c r="I23" s="1"/>
    </row>
    <row r="24" spans="1:9" ht="48" customHeight="1" x14ac:dyDescent="0.3">
      <c r="A24" s="261" t="s">
        <v>18</v>
      </c>
      <c r="B24" s="262">
        <v>244</v>
      </c>
      <c r="C24" s="262">
        <v>223</v>
      </c>
      <c r="D24" s="3"/>
      <c r="E24" s="1"/>
      <c r="F24" s="1"/>
      <c r="G24" s="3"/>
      <c r="H24" s="1"/>
      <c r="I24" s="1"/>
    </row>
    <row r="25" spans="1:9" ht="36" x14ac:dyDescent="0.3">
      <c r="A25" s="316" t="s">
        <v>19</v>
      </c>
      <c r="B25" s="317">
        <v>244</v>
      </c>
      <c r="C25" s="317">
        <v>223</v>
      </c>
      <c r="D25" s="3"/>
      <c r="E25" s="1"/>
      <c r="F25" s="1"/>
      <c r="G25" s="3"/>
      <c r="H25" s="1"/>
      <c r="I25" s="1"/>
    </row>
    <row r="26" spans="1:9" ht="46.5" customHeight="1" x14ac:dyDescent="0.3">
      <c r="A26" s="316" t="s">
        <v>20</v>
      </c>
      <c r="B26" s="317">
        <v>244</v>
      </c>
      <c r="C26" s="317">
        <v>223</v>
      </c>
      <c r="D26" s="3"/>
      <c r="E26" s="1"/>
      <c r="F26" s="1"/>
      <c r="G26" s="3"/>
      <c r="H26" s="1"/>
      <c r="I26" s="1"/>
    </row>
    <row r="27" spans="1:9" ht="37.200000000000003" customHeight="1" x14ac:dyDescent="0.3">
      <c r="A27" s="230" t="s">
        <v>18</v>
      </c>
      <c r="B27" s="231">
        <v>247</v>
      </c>
      <c r="C27" s="231">
        <v>223</v>
      </c>
      <c r="D27" s="3">
        <f t="shared" si="0"/>
        <v>0</v>
      </c>
      <c r="E27" s="1">
        <f>'гос.задание на 2023-2024 год '!E133</f>
        <v>0</v>
      </c>
      <c r="F27" s="1">
        <f>'гос.задание на 2023-2024 год '!F133</f>
        <v>0</v>
      </c>
      <c r="G27" s="3">
        <f t="shared" ref="G27:G32" si="1">H27+I27</f>
        <v>0</v>
      </c>
      <c r="H27" s="1">
        <f>'гос.задание на 2023-2024 год '!H133</f>
        <v>0</v>
      </c>
      <c r="I27" s="1">
        <f>'гос.задание на 2023-2024 год '!I133</f>
        <v>0</v>
      </c>
    </row>
    <row r="28" spans="1:9" ht="36" x14ac:dyDescent="0.3">
      <c r="A28" s="230" t="s">
        <v>19</v>
      </c>
      <c r="B28" s="231">
        <v>247</v>
      </c>
      <c r="C28" s="231">
        <v>223</v>
      </c>
      <c r="D28" s="3">
        <f t="shared" si="0"/>
        <v>0</v>
      </c>
      <c r="E28" s="1">
        <f>'гос.задание на 2023-2024 год '!E134</f>
        <v>0</v>
      </c>
      <c r="F28" s="1">
        <f>'гос.задание на 2023-2024 год '!F134</f>
        <v>0</v>
      </c>
      <c r="G28" s="3">
        <f t="shared" si="1"/>
        <v>0</v>
      </c>
      <c r="H28" s="1">
        <f>'гос.задание на 2023-2024 год '!H134</f>
        <v>0</v>
      </c>
      <c r="I28" s="1">
        <f>'гос.задание на 2023-2024 год '!I134</f>
        <v>0</v>
      </c>
    </row>
    <row r="29" spans="1:9" ht="43.95" customHeight="1" x14ac:dyDescent="0.3">
      <c r="A29" s="230" t="s">
        <v>20</v>
      </c>
      <c r="B29" s="231">
        <v>247</v>
      </c>
      <c r="C29" s="231">
        <v>223</v>
      </c>
      <c r="D29" s="3">
        <f t="shared" si="0"/>
        <v>0</v>
      </c>
      <c r="E29" s="1">
        <f>'гос.задание на 2023-2024 год '!E135</f>
        <v>0</v>
      </c>
      <c r="F29" s="1">
        <f>'гос.задание на 2023-2024 год '!F135</f>
        <v>0</v>
      </c>
      <c r="G29" s="3">
        <f t="shared" si="1"/>
        <v>0</v>
      </c>
      <c r="H29" s="1">
        <f>'гос.задание на 2023-2024 год '!H135</f>
        <v>0</v>
      </c>
      <c r="I29" s="1">
        <f>'гос.задание на 2023-2024 год '!I135</f>
        <v>0</v>
      </c>
    </row>
    <row r="30" spans="1:9" ht="62.4" customHeight="1" x14ac:dyDescent="0.3">
      <c r="A30" s="230" t="s">
        <v>21</v>
      </c>
      <c r="B30" s="231">
        <v>244</v>
      </c>
      <c r="C30" s="231">
        <v>223</v>
      </c>
      <c r="D30" s="3">
        <f t="shared" si="0"/>
        <v>0</v>
      </c>
      <c r="E30" s="1">
        <f>'гос.задание на 2023-2024 год '!E136</f>
        <v>0</v>
      </c>
      <c r="F30" s="1">
        <f>'гос.задание на 2023-2024 год '!F136</f>
        <v>0</v>
      </c>
      <c r="G30" s="3">
        <f t="shared" si="1"/>
        <v>0</v>
      </c>
      <c r="H30" s="1">
        <f>'гос.задание на 2023-2024 год '!H136</f>
        <v>0</v>
      </c>
      <c r="I30" s="1">
        <f>'гос.задание на 2023-2024 год '!I136</f>
        <v>0</v>
      </c>
    </row>
    <row r="31" spans="1:9" ht="36" x14ac:dyDescent="0.3">
      <c r="A31" s="230" t="s">
        <v>22</v>
      </c>
      <c r="B31" s="231">
        <v>244</v>
      </c>
      <c r="C31" s="231">
        <v>223</v>
      </c>
      <c r="D31" s="3">
        <f t="shared" si="0"/>
        <v>0</v>
      </c>
      <c r="E31" s="1">
        <f>'гос.задание на 2023-2024 год '!E137</f>
        <v>0</v>
      </c>
      <c r="F31" s="1">
        <f>'гос.задание на 2023-2024 год '!F137</f>
        <v>0</v>
      </c>
      <c r="G31" s="3">
        <f t="shared" si="1"/>
        <v>0</v>
      </c>
      <c r="H31" s="1">
        <f>'гос.задание на 2023-2024 год '!H137</f>
        <v>0</v>
      </c>
      <c r="I31" s="1">
        <f>'гос.задание на 2023-2024 год '!I137</f>
        <v>0</v>
      </c>
    </row>
    <row r="32" spans="1:9" ht="132.6" customHeight="1" x14ac:dyDescent="0.3">
      <c r="A32" s="230" t="s">
        <v>23</v>
      </c>
      <c r="B32" s="231">
        <v>244</v>
      </c>
      <c r="C32" s="231">
        <v>224</v>
      </c>
      <c r="D32" s="3">
        <f t="shared" si="0"/>
        <v>0</v>
      </c>
      <c r="E32" s="1">
        <f>'гос.задание на 2023-2024 год '!E138</f>
        <v>0</v>
      </c>
      <c r="F32" s="1">
        <f>'гос.задание на 2023-2024 год '!F138</f>
        <v>0</v>
      </c>
      <c r="G32" s="3">
        <f t="shared" si="1"/>
        <v>0</v>
      </c>
      <c r="H32" s="1">
        <f>'гос.задание на 2023-2024 год '!H138</f>
        <v>0</v>
      </c>
      <c r="I32" s="1">
        <f>'гос.задание на 2023-2024 год '!I138</f>
        <v>0</v>
      </c>
    </row>
    <row r="33" spans="1:9" ht="54" x14ac:dyDescent="0.3">
      <c r="A33" s="230" t="s">
        <v>24</v>
      </c>
      <c r="B33" s="231" t="s">
        <v>5</v>
      </c>
      <c r="C33" s="231">
        <v>225</v>
      </c>
      <c r="D33" s="1">
        <f t="shared" ref="D33:I33" si="2">D34+D35</f>
        <v>0</v>
      </c>
      <c r="E33" s="1">
        <f t="shared" si="2"/>
        <v>0</v>
      </c>
      <c r="F33" s="1">
        <f t="shared" si="2"/>
        <v>0</v>
      </c>
      <c r="G33" s="1">
        <f t="shared" si="2"/>
        <v>0</v>
      </c>
      <c r="H33" s="1">
        <f t="shared" si="2"/>
        <v>0</v>
      </c>
      <c r="I33" s="1">
        <f t="shared" si="2"/>
        <v>0</v>
      </c>
    </row>
    <row r="34" spans="1:9" ht="18" x14ac:dyDescent="0.3">
      <c r="A34" s="407" t="s">
        <v>6</v>
      </c>
      <c r="B34" s="231">
        <v>243</v>
      </c>
      <c r="C34" s="231">
        <v>225</v>
      </c>
      <c r="D34" s="3">
        <f t="shared" si="0"/>
        <v>0</v>
      </c>
      <c r="E34" s="1">
        <f>'гос.задание на 2023-2024 год '!E140</f>
        <v>0</v>
      </c>
      <c r="F34" s="1">
        <f>'гос.задание на 2023-2024 год '!F140</f>
        <v>0</v>
      </c>
      <c r="G34" s="3">
        <f t="shared" ref="G34:G45" si="3">H34+I34</f>
        <v>0</v>
      </c>
      <c r="H34" s="1">
        <f>'гос.задание на 2023-2024 год '!H140</f>
        <v>0</v>
      </c>
      <c r="I34" s="1">
        <f>'гос.задание на 2023-2024 год '!I140</f>
        <v>0</v>
      </c>
    </row>
    <row r="35" spans="1:9" ht="18" x14ac:dyDescent="0.3">
      <c r="A35" s="407"/>
      <c r="B35" s="231">
        <v>244</v>
      </c>
      <c r="C35" s="231">
        <v>225</v>
      </c>
      <c r="D35" s="3">
        <f t="shared" si="0"/>
        <v>0</v>
      </c>
      <c r="E35" s="1">
        <f>'гос.задание на 2023-2024 год '!E141</f>
        <v>0</v>
      </c>
      <c r="F35" s="1">
        <f>'гос.задание на 2023-2024 год '!F141</f>
        <v>0</v>
      </c>
      <c r="G35" s="3">
        <f t="shared" si="3"/>
        <v>0</v>
      </c>
      <c r="H35" s="1">
        <f>'гос.задание на 2023-2024 год '!H141</f>
        <v>0</v>
      </c>
      <c r="I35" s="1">
        <f>'гос.задание на 2023-2024 год '!I141</f>
        <v>0</v>
      </c>
    </row>
    <row r="36" spans="1:9" ht="19.5" customHeight="1" x14ac:dyDescent="0.3">
      <c r="A36" s="230" t="s">
        <v>58</v>
      </c>
      <c r="B36" s="231" t="s">
        <v>5</v>
      </c>
      <c r="C36" s="231">
        <v>226</v>
      </c>
      <c r="D36" s="3">
        <f t="shared" si="0"/>
        <v>0</v>
      </c>
      <c r="E36" s="1">
        <f>E37+E38</f>
        <v>0</v>
      </c>
      <c r="F36" s="1">
        <f>F37+F38</f>
        <v>0</v>
      </c>
      <c r="G36" s="3">
        <f t="shared" si="3"/>
        <v>0</v>
      </c>
      <c r="H36" s="1">
        <f>H37+H38</f>
        <v>0</v>
      </c>
      <c r="I36" s="1">
        <f>I37+I38</f>
        <v>0</v>
      </c>
    </row>
    <row r="37" spans="1:9" ht="18" x14ac:dyDescent="0.3">
      <c r="A37" s="407" t="s">
        <v>6</v>
      </c>
      <c r="B37" s="231">
        <v>243</v>
      </c>
      <c r="C37" s="231">
        <v>226</v>
      </c>
      <c r="D37" s="3">
        <f t="shared" si="0"/>
        <v>0</v>
      </c>
      <c r="E37" s="1">
        <f>'гос.задание на 2023-2024 год '!E143</f>
        <v>0</v>
      </c>
      <c r="F37" s="1">
        <f>'гос.задание на 2023-2024 год '!F143</f>
        <v>0</v>
      </c>
      <c r="G37" s="3">
        <f t="shared" si="3"/>
        <v>0</v>
      </c>
      <c r="H37" s="1">
        <f>'гос.задание на 2023-2024 год '!H143</f>
        <v>0</v>
      </c>
      <c r="I37" s="1">
        <f>'гос.задание на 2023-2024 год '!I143</f>
        <v>0</v>
      </c>
    </row>
    <row r="38" spans="1:9" ht="18" x14ac:dyDescent="0.3">
      <c r="A38" s="407"/>
      <c r="B38" s="231">
        <v>244</v>
      </c>
      <c r="C38" s="231">
        <v>226</v>
      </c>
      <c r="D38" s="3">
        <f t="shared" si="0"/>
        <v>0</v>
      </c>
      <c r="E38" s="1">
        <f>'гос.задание на 2023-2024 год '!E144</f>
        <v>0</v>
      </c>
      <c r="F38" s="1">
        <f>'гос.задание на 2023-2024 год '!F144</f>
        <v>0</v>
      </c>
      <c r="G38" s="3">
        <f t="shared" si="3"/>
        <v>0</v>
      </c>
      <c r="H38" s="1">
        <f>'гос.задание на 2023-2024 год '!H144</f>
        <v>0</v>
      </c>
      <c r="I38" s="1">
        <f>'гос.задание на 2023-2024 год '!I144</f>
        <v>0</v>
      </c>
    </row>
    <row r="39" spans="1:9" ht="18" x14ac:dyDescent="0.3">
      <c r="A39" s="230" t="s">
        <v>25</v>
      </c>
      <c r="B39" s="231">
        <v>244</v>
      </c>
      <c r="C39" s="231">
        <v>227</v>
      </c>
      <c r="D39" s="3">
        <f t="shared" si="0"/>
        <v>0</v>
      </c>
      <c r="E39" s="1">
        <f>'гос.задание на 2023-2024 год '!E145</f>
        <v>0</v>
      </c>
      <c r="F39" s="1">
        <f>'гос.задание на 2023-2024 год '!F145</f>
        <v>0</v>
      </c>
      <c r="G39" s="3">
        <f t="shared" si="3"/>
        <v>0</v>
      </c>
      <c r="H39" s="1">
        <f>'гос.задание на 2023-2024 год '!H145</f>
        <v>0</v>
      </c>
      <c r="I39" s="1">
        <f>'гос.задание на 2023-2024 год '!I145</f>
        <v>0</v>
      </c>
    </row>
    <row r="40" spans="1:9" ht="54" x14ac:dyDescent="0.3">
      <c r="A40" s="261" t="s">
        <v>445</v>
      </c>
      <c r="B40" s="262">
        <v>244</v>
      </c>
      <c r="C40" s="262">
        <v>228</v>
      </c>
      <c r="D40" s="3">
        <v>0</v>
      </c>
      <c r="E40" s="1">
        <v>0</v>
      </c>
      <c r="F40" s="1">
        <v>0</v>
      </c>
      <c r="G40" s="3">
        <v>0</v>
      </c>
      <c r="H40" s="1">
        <v>0</v>
      </c>
      <c r="I40" s="1">
        <v>0</v>
      </c>
    </row>
    <row r="41" spans="1:9" ht="18" x14ac:dyDescent="0.3">
      <c r="A41" s="230" t="s">
        <v>30</v>
      </c>
      <c r="B41" s="231" t="s">
        <v>5</v>
      </c>
      <c r="C41" s="231">
        <v>290</v>
      </c>
      <c r="D41" s="3">
        <f t="shared" si="0"/>
        <v>0</v>
      </c>
      <c r="E41" s="1">
        <f>E43+E44</f>
        <v>0</v>
      </c>
      <c r="F41" s="1">
        <f>F43+F44</f>
        <v>0</v>
      </c>
      <c r="G41" s="3">
        <f t="shared" si="3"/>
        <v>0</v>
      </c>
      <c r="H41" s="1">
        <f>H43+H44</f>
        <v>0</v>
      </c>
      <c r="I41" s="1">
        <f>I43+I44</f>
        <v>0</v>
      </c>
    </row>
    <row r="42" spans="1:9" ht="18" x14ac:dyDescent="0.3">
      <c r="A42" s="230" t="s">
        <v>9</v>
      </c>
      <c r="B42" s="231"/>
      <c r="C42" s="231"/>
      <c r="D42" s="3"/>
      <c r="E42" s="1"/>
      <c r="F42" s="1"/>
      <c r="G42" s="3"/>
      <c r="H42" s="1"/>
      <c r="I42" s="1"/>
    </row>
    <row r="43" spans="1:9" ht="54" x14ac:dyDescent="0.3">
      <c r="A43" s="230" t="s">
        <v>34</v>
      </c>
      <c r="B43" s="231">
        <v>244</v>
      </c>
      <c r="C43" s="231">
        <v>296</v>
      </c>
      <c r="D43" s="3">
        <f t="shared" si="0"/>
        <v>0</v>
      </c>
      <c r="E43" s="1">
        <f>'гос.задание на 2023-2024 год '!E148</f>
        <v>0</v>
      </c>
      <c r="F43" s="1">
        <f>'гос.задание на 2023-2024 год '!F148</f>
        <v>0</v>
      </c>
      <c r="G43" s="3">
        <f t="shared" si="3"/>
        <v>0</v>
      </c>
      <c r="H43" s="1">
        <f>'гос.задание на 2023-2024 год '!H148</f>
        <v>0</v>
      </c>
      <c r="I43" s="1">
        <f>'гос.задание на 2023-2024 год '!I148</f>
        <v>0</v>
      </c>
    </row>
    <row r="44" spans="1:9" ht="54" x14ac:dyDescent="0.3">
      <c r="A44" s="230" t="s">
        <v>35</v>
      </c>
      <c r="B44" s="231">
        <v>244</v>
      </c>
      <c r="C44" s="231">
        <v>297</v>
      </c>
      <c r="D44" s="3">
        <f t="shared" si="0"/>
        <v>0</v>
      </c>
      <c r="E44" s="1">
        <f>'гос.задание на 2023-2024 год '!E149</f>
        <v>0</v>
      </c>
      <c r="F44" s="1">
        <f>'гос.задание на 2023-2024 год '!F149</f>
        <v>0</v>
      </c>
      <c r="G44" s="3">
        <f t="shared" si="3"/>
        <v>0</v>
      </c>
      <c r="H44" s="1">
        <f>'гос.задание на 2023-2024 год '!H149</f>
        <v>0</v>
      </c>
      <c r="I44" s="1">
        <f>'гос.задание на 2023-2024 год '!I149</f>
        <v>0</v>
      </c>
    </row>
    <row r="45" spans="1:9" ht="54" x14ac:dyDescent="0.3">
      <c r="A45" s="230" t="s">
        <v>59</v>
      </c>
      <c r="B45" s="231" t="s">
        <v>5</v>
      </c>
      <c r="C45" s="231">
        <v>300</v>
      </c>
      <c r="D45" s="3">
        <f t="shared" si="0"/>
        <v>0</v>
      </c>
      <c r="E45" s="1">
        <f>E47+E49+E48</f>
        <v>0</v>
      </c>
      <c r="F45" s="1">
        <f>F47+F49+F48</f>
        <v>0</v>
      </c>
      <c r="G45" s="3">
        <f t="shared" si="3"/>
        <v>0</v>
      </c>
      <c r="H45" s="1">
        <f>H47+H49+H48</f>
        <v>0</v>
      </c>
      <c r="I45" s="1">
        <f>I47+I49+I48</f>
        <v>0</v>
      </c>
    </row>
    <row r="46" spans="1:9" ht="18" x14ac:dyDescent="0.3">
      <c r="A46" s="230" t="s">
        <v>9</v>
      </c>
      <c r="B46" s="231"/>
      <c r="C46" s="231"/>
      <c r="D46" s="3"/>
      <c r="E46" s="1"/>
      <c r="F46" s="1"/>
      <c r="G46" s="3"/>
      <c r="H46" s="1"/>
      <c r="I46" s="1"/>
    </row>
    <row r="47" spans="1:9" ht="43.2" customHeight="1" x14ac:dyDescent="0.3">
      <c r="A47" s="230" t="s">
        <v>36</v>
      </c>
      <c r="B47" s="231">
        <v>244</v>
      </c>
      <c r="C47" s="231">
        <v>310</v>
      </c>
      <c r="D47" s="3">
        <f t="shared" si="0"/>
        <v>0</v>
      </c>
      <c r="E47" s="1">
        <f>'гос.задание на 2023-2024 год '!E152</f>
        <v>0</v>
      </c>
      <c r="F47" s="1">
        <f>'гос.задание на 2023-2024 год '!F152</f>
        <v>0</v>
      </c>
      <c r="G47" s="3">
        <f>H47+I47</f>
        <v>0</v>
      </c>
      <c r="H47" s="1">
        <f>'гос.задание на 2023-2024 год '!H152</f>
        <v>0</v>
      </c>
      <c r="I47" s="1">
        <f>'гос.задание на 2023-2024 год '!I152</f>
        <v>0</v>
      </c>
    </row>
    <row r="48" spans="1:9" ht="60" customHeight="1" x14ac:dyDescent="0.3">
      <c r="A48" s="230" t="s">
        <v>68</v>
      </c>
      <c r="B48" s="231">
        <v>244</v>
      </c>
      <c r="C48" s="231">
        <v>320</v>
      </c>
      <c r="D48" s="3">
        <f t="shared" si="0"/>
        <v>0</v>
      </c>
      <c r="E48" s="1">
        <f>'гос.задание на 2023-2024 год '!E153</f>
        <v>0</v>
      </c>
      <c r="F48" s="1">
        <f>'гос.задание на 2023-2024 год '!F153</f>
        <v>0</v>
      </c>
      <c r="G48" s="3">
        <f>H48+I48</f>
        <v>0</v>
      </c>
      <c r="H48" s="1">
        <f>'гос.задание на 2023-2024 год '!H153</f>
        <v>0</v>
      </c>
      <c r="I48" s="1">
        <f>'гос.задание на 2023-2024 год '!I153</f>
        <v>0</v>
      </c>
    </row>
    <row r="49" spans="1:9" ht="55.2" customHeight="1" x14ac:dyDescent="0.3">
      <c r="A49" s="230" t="s">
        <v>60</v>
      </c>
      <c r="B49" s="231" t="s">
        <v>5</v>
      </c>
      <c r="C49" s="231">
        <v>340</v>
      </c>
      <c r="D49" s="3">
        <f t="shared" si="0"/>
        <v>0</v>
      </c>
      <c r="E49" s="1">
        <f>E51+E52+E53+E54+E55+E56+E58</f>
        <v>0</v>
      </c>
      <c r="F49" s="1">
        <f>F51+F52+F53+F54+F55+F56+F58</f>
        <v>0</v>
      </c>
      <c r="G49" s="3">
        <f>H49+I49</f>
        <v>0</v>
      </c>
      <c r="H49" s="1">
        <f>H51+H52+H53+H54+H55+H56+H58</f>
        <v>0</v>
      </c>
      <c r="I49" s="1">
        <f>I51+I52+I53+I54+I55+I56+I58</f>
        <v>0</v>
      </c>
    </row>
    <row r="50" spans="1:9" ht="18" x14ac:dyDescent="0.3">
      <c r="A50" s="230" t="s">
        <v>6</v>
      </c>
      <c r="B50" s="231"/>
      <c r="C50" s="231"/>
      <c r="D50" s="3"/>
      <c r="E50" s="1"/>
      <c r="F50" s="1"/>
      <c r="G50" s="3"/>
      <c r="H50" s="1"/>
      <c r="I50" s="1"/>
    </row>
    <row r="51" spans="1:9" ht="110.4" customHeight="1" x14ac:dyDescent="0.3">
      <c r="A51" s="230" t="s">
        <v>37</v>
      </c>
      <c r="B51" s="231">
        <v>244</v>
      </c>
      <c r="C51" s="231">
        <v>341</v>
      </c>
      <c r="D51" s="3">
        <f t="shared" ref="D51:D58" si="4">E51+F51</f>
        <v>0</v>
      </c>
      <c r="E51" s="1">
        <f>'гос.задание на 2023-2024 год '!E156</f>
        <v>0</v>
      </c>
      <c r="F51" s="1">
        <f>'гос.задание на 2023-2024 год '!F156</f>
        <v>0</v>
      </c>
      <c r="G51" s="3">
        <f t="shared" ref="G51:G58" si="5">H51+I51</f>
        <v>0</v>
      </c>
      <c r="H51" s="1">
        <f>'гос.задание на 2023-2024 год '!H156</f>
        <v>0</v>
      </c>
      <c r="I51" s="1">
        <f>'гос.задание на 2023-2024 год '!I156</f>
        <v>0</v>
      </c>
    </row>
    <row r="52" spans="1:9" ht="43.2" customHeight="1" x14ac:dyDescent="0.3">
      <c r="A52" s="230" t="s">
        <v>38</v>
      </c>
      <c r="B52" s="231">
        <v>244</v>
      </c>
      <c r="C52" s="231">
        <v>342</v>
      </c>
      <c r="D52" s="3">
        <f t="shared" si="4"/>
        <v>0</v>
      </c>
      <c r="E52" s="1">
        <f>'гос.задание на 2023-2024 год '!E157</f>
        <v>0</v>
      </c>
      <c r="F52" s="1">
        <f>'гос.задание на 2023-2024 год '!F157</f>
        <v>0</v>
      </c>
      <c r="G52" s="3">
        <f t="shared" si="5"/>
        <v>0</v>
      </c>
      <c r="H52" s="1">
        <f>'гос.задание на 2023-2024 год '!H157</f>
        <v>0</v>
      </c>
      <c r="I52" s="1">
        <f>'гос.задание на 2023-2024 год '!I157</f>
        <v>0</v>
      </c>
    </row>
    <row r="53" spans="1:9" ht="57.6" customHeight="1" x14ac:dyDescent="0.3">
      <c r="A53" s="230" t="s">
        <v>39</v>
      </c>
      <c r="B53" s="231">
        <v>244</v>
      </c>
      <c r="C53" s="231">
        <v>343</v>
      </c>
      <c r="D53" s="3">
        <f t="shared" si="4"/>
        <v>0</v>
      </c>
      <c r="E53" s="1">
        <f>'гос.задание на 2023-2024 год '!E158</f>
        <v>0</v>
      </c>
      <c r="F53" s="1">
        <f>'гос.задание на 2023-2024 год '!F158</f>
        <v>0</v>
      </c>
      <c r="G53" s="3">
        <f t="shared" si="5"/>
        <v>0</v>
      </c>
      <c r="H53" s="1">
        <f>'гос.задание на 2023-2024 год '!H158</f>
        <v>0</v>
      </c>
      <c r="I53" s="1">
        <f>'гос.задание на 2023-2024 год '!I158</f>
        <v>0</v>
      </c>
    </row>
    <row r="54" spans="1:9" ht="59.4" customHeight="1" x14ac:dyDescent="0.3">
      <c r="A54" s="230" t="s">
        <v>40</v>
      </c>
      <c r="B54" s="231">
        <v>244</v>
      </c>
      <c r="C54" s="231">
        <v>344</v>
      </c>
      <c r="D54" s="3">
        <f t="shared" si="4"/>
        <v>0</v>
      </c>
      <c r="E54" s="1">
        <f>'гос.задание на 2023-2024 год '!E159</f>
        <v>0</v>
      </c>
      <c r="F54" s="1">
        <f>'гос.задание на 2023-2024 год '!F159</f>
        <v>0</v>
      </c>
      <c r="G54" s="3">
        <f t="shared" si="5"/>
        <v>0</v>
      </c>
      <c r="H54" s="1">
        <f>'гос.задание на 2023-2024 год '!H159</f>
        <v>0</v>
      </c>
      <c r="I54" s="1">
        <f>'гос.задание на 2023-2024 год '!I159</f>
        <v>0</v>
      </c>
    </row>
    <row r="55" spans="1:9" ht="45" customHeight="1" x14ac:dyDescent="0.3">
      <c r="A55" s="230" t="s">
        <v>41</v>
      </c>
      <c r="B55" s="231">
        <v>244</v>
      </c>
      <c r="C55" s="231">
        <v>345</v>
      </c>
      <c r="D55" s="3">
        <f t="shared" si="4"/>
        <v>0</v>
      </c>
      <c r="E55" s="1">
        <f>'гос.задание на 2023-2024 год '!E160</f>
        <v>0</v>
      </c>
      <c r="F55" s="1">
        <f>'гос.задание на 2023-2024 год '!F160</f>
        <v>0</v>
      </c>
      <c r="G55" s="3">
        <f t="shared" si="5"/>
        <v>0</v>
      </c>
      <c r="H55" s="1">
        <f>'гос.задание на 2023-2024 год '!H160</f>
        <v>0</v>
      </c>
      <c r="I55" s="1">
        <f>'гос.задание на 2023-2024 год '!I160</f>
        <v>0</v>
      </c>
    </row>
    <row r="56" spans="1:9" ht="63" customHeight="1" x14ac:dyDescent="0.3">
      <c r="A56" s="230" t="s">
        <v>42</v>
      </c>
      <c r="B56" s="231">
        <v>244</v>
      </c>
      <c r="C56" s="231">
        <v>346</v>
      </c>
      <c r="D56" s="3">
        <f t="shared" si="4"/>
        <v>0</v>
      </c>
      <c r="E56" s="1">
        <f>'гос.задание на 2023-2024 год '!E161</f>
        <v>0</v>
      </c>
      <c r="F56" s="1">
        <f>'гос.задание на 2023-2024 год '!F161</f>
        <v>0</v>
      </c>
      <c r="G56" s="3">
        <f t="shared" si="5"/>
        <v>0</v>
      </c>
      <c r="H56" s="1">
        <f>'гос.задание на 2023-2024 год '!H161</f>
        <v>0</v>
      </c>
      <c r="I56" s="1">
        <f>'гос.задание на 2023-2024 год '!I161</f>
        <v>0</v>
      </c>
    </row>
    <row r="57" spans="1:9" ht="82.5" customHeight="1" x14ac:dyDescent="0.3">
      <c r="A57" s="261" t="s">
        <v>446</v>
      </c>
      <c r="B57" s="262">
        <v>244</v>
      </c>
      <c r="C57" s="262">
        <v>347</v>
      </c>
      <c r="D57" s="3">
        <v>0</v>
      </c>
      <c r="E57" s="1">
        <v>0</v>
      </c>
      <c r="F57" s="1">
        <v>0</v>
      </c>
      <c r="G57" s="3">
        <v>0</v>
      </c>
      <c r="H57" s="1">
        <v>0</v>
      </c>
      <c r="I57" s="1">
        <v>0</v>
      </c>
    </row>
    <row r="58" spans="1:9" ht="82.5" customHeight="1" x14ac:dyDescent="0.3">
      <c r="A58" s="230" t="s">
        <v>43</v>
      </c>
      <c r="B58" s="231">
        <v>244</v>
      </c>
      <c r="C58" s="231">
        <v>349</v>
      </c>
      <c r="D58" s="3">
        <f t="shared" si="4"/>
        <v>0</v>
      </c>
      <c r="E58" s="1">
        <f>'гос.задание на 2023-2024 год '!E162</f>
        <v>0</v>
      </c>
      <c r="F58" s="1">
        <f>'гос.задание на 2023-2024 год '!F162</f>
        <v>0</v>
      </c>
      <c r="G58" s="3">
        <f t="shared" si="5"/>
        <v>0</v>
      </c>
      <c r="H58" s="1">
        <f>'гос.задание на 2023-2024 год '!H162</f>
        <v>0</v>
      </c>
      <c r="I58" s="1">
        <f>'гос.задание на 2023-2024 год '!I162</f>
        <v>0</v>
      </c>
    </row>
    <row r="59" spans="1:9" ht="32.4" customHeight="1" x14ac:dyDescent="0.3">
      <c r="A59" s="403" t="s">
        <v>201</v>
      </c>
      <c r="B59" s="403"/>
      <c r="C59" s="403"/>
      <c r="D59" s="403"/>
      <c r="E59" s="403"/>
      <c r="F59" s="403"/>
      <c r="G59" s="403"/>
      <c r="H59" s="403"/>
      <c r="I59" s="403"/>
    </row>
    <row r="60" spans="1:9" ht="18" x14ac:dyDescent="0.3">
      <c r="A60" s="230" t="s">
        <v>8</v>
      </c>
      <c r="B60" s="231" t="s">
        <v>5</v>
      </c>
      <c r="C60" s="231">
        <v>200</v>
      </c>
      <c r="D60" s="3">
        <f>E60+F60</f>
        <v>5303941.8999999994</v>
      </c>
      <c r="E60" s="1">
        <f>E62+E65+E88</f>
        <v>5303941.8999999994</v>
      </c>
      <c r="F60" s="1">
        <f>F62+F65+F88</f>
        <v>0</v>
      </c>
      <c r="G60" s="3">
        <f>H60+I60</f>
        <v>5303941.8999999994</v>
      </c>
      <c r="H60" s="1">
        <f>H62+H65+H88</f>
        <v>5303941.8999999994</v>
      </c>
      <c r="I60" s="1">
        <f>I62+I65+I88</f>
        <v>0</v>
      </c>
    </row>
    <row r="61" spans="1:9" ht="18" x14ac:dyDescent="0.3">
      <c r="A61" s="230" t="s">
        <v>9</v>
      </c>
      <c r="B61" s="231"/>
      <c r="C61" s="231"/>
      <c r="D61" s="3"/>
      <c r="E61" s="1"/>
      <c r="F61" s="1"/>
      <c r="G61" s="3"/>
      <c r="H61" s="1"/>
      <c r="I61" s="1"/>
    </row>
    <row r="62" spans="1:9" ht="54" x14ac:dyDescent="0.3">
      <c r="A62" s="230" t="s">
        <v>10</v>
      </c>
      <c r="B62" s="231" t="s">
        <v>5</v>
      </c>
      <c r="C62" s="231">
        <v>210</v>
      </c>
      <c r="D62" s="3">
        <f>E62+F62</f>
        <v>0</v>
      </c>
      <c r="E62" s="1">
        <f>E64</f>
        <v>0</v>
      </c>
      <c r="F62" s="1">
        <f>F64</f>
        <v>0</v>
      </c>
      <c r="G62" s="3">
        <f>H62+I62</f>
        <v>0</v>
      </c>
      <c r="H62" s="1">
        <f>H64</f>
        <v>0</v>
      </c>
      <c r="I62" s="1">
        <f>I64</f>
        <v>0</v>
      </c>
    </row>
    <row r="63" spans="1:9" ht="18" x14ac:dyDescent="0.3">
      <c r="A63" s="230" t="s">
        <v>9</v>
      </c>
      <c r="B63" s="231"/>
      <c r="C63" s="231"/>
      <c r="D63" s="3"/>
      <c r="E63" s="1"/>
      <c r="F63" s="1"/>
      <c r="G63" s="3"/>
      <c r="H63" s="1"/>
      <c r="I63" s="1"/>
    </row>
    <row r="64" spans="1:9" ht="59.4" customHeight="1" x14ac:dyDescent="0.3">
      <c r="A64" s="230" t="s">
        <v>200</v>
      </c>
      <c r="B64" s="231">
        <v>244</v>
      </c>
      <c r="C64" s="231">
        <v>214</v>
      </c>
      <c r="D64" s="3">
        <f>E64+F64</f>
        <v>0</v>
      </c>
      <c r="E64" s="1">
        <f>'гос.задание на 2023-2024 год '!E168</f>
        <v>0</v>
      </c>
      <c r="F64" s="1">
        <f>'гос.задание на 2023-2024 год '!F168</f>
        <v>0</v>
      </c>
      <c r="G64" s="3">
        <f>H64+I64</f>
        <v>0</v>
      </c>
      <c r="H64" s="1">
        <f>'гос.задание на 2023-2024 год '!H168</f>
        <v>0</v>
      </c>
      <c r="I64" s="1">
        <f>'гос.задание на 2023-2024 год '!I168</f>
        <v>0</v>
      </c>
    </row>
    <row r="65" spans="1:9" ht="36" x14ac:dyDescent="0.3">
      <c r="A65" s="230" t="s">
        <v>14</v>
      </c>
      <c r="B65" s="231" t="s">
        <v>5</v>
      </c>
      <c r="C65" s="231">
        <v>220</v>
      </c>
      <c r="D65" s="3">
        <f>E65+F65</f>
        <v>5303941.8999999994</v>
      </c>
      <c r="E65" s="1">
        <f>E67+E68+E69+E79+E80+E83+E86</f>
        <v>5303941.8999999994</v>
      </c>
      <c r="F65" s="1">
        <f>F67+F68+F69+F79+F80+F83+F86</f>
        <v>0</v>
      </c>
      <c r="G65" s="3">
        <f>H65+I65</f>
        <v>5303941.8999999994</v>
      </c>
      <c r="H65" s="1">
        <f>H67+H68+H69+H79+H80+H83+H86</f>
        <v>5303941.8999999994</v>
      </c>
      <c r="I65" s="1">
        <f>I67+I68+I69+I79+I80+I83+I86</f>
        <v>0</v>
      </c>
    </row>
    <row r="66" spans="1:9" ht="18" x14ac:dyDescent="0.3">
      <c r="A66" s="230" t="s">
        <v>9</v>
      </c>
      <c r="B66" s="231"/>
      <c r="C66" s="231"/>
      <c r="D66" s="3"/>
      <c r="E66" s="1"/>
      <c r="F66" s="1"/>
      <c r="G66" s="3"/>
      <c r="H66" s="1"/>
      <c r="I66" s="1"/>
    </row>
    <row r="67" spans="1:9" ht="18" x14ac:dyDescent="0.3">
      <c r="A67" s="230" t="s">
        <v>15</v>
      </c>
      <c r="B67" s="231">
        <v>244</v>
      </c>
      <c r="C67" s="231">
        <v>221</v>
      </c>
      <c r="D67" s="3">
        <f>E67+F67</f>
        <v>90630</v>
      </c>
      <c r="E67" s="1">
        <f>'гос.задание на 2023-2024 год '!E171</f>
        <v>90630</v>
      </c>
      <c r="F67" s="1">
        <f>'гос.задание на 2023-2024 год '!F171</f>
        <v>0</v>
      </c>
      <c r="G67" s="3">
        <f>H67+I67</f>
        <v>90630</v>
      </c>
      <c r="H67" s="1">
        <f>'гос.задание на 2023-2024 год '!H171</f>
        <v>90630</v>
      </c>
      <c r="I67" s="1">
        <f>'гос.задание на 2023-2024 год '!I171</f>
        <v>0</v>
      </c>
    </row>
    <row r="68" spans="1:9" ht="36" x14ac:dyDescent="0.3">
      <c r="A68" s="230" t="s">
        <v>16</v>
      </c>
      <c r="B68" s="231">
        <v>244</v>
      </c>
      <c r="C68" s="231">
        <v>222</v>
      </c>
      <c r="D68" s="3">
        <f>E68+F68</f>
        <v>0</v>
      </c>
      <c r="E68" s="1">
        <f>'гос.задание на 2023-2024 год '!E172</f>
        <v>0</v>
      </c>
      <c r="F68" s="1">
        <f>'гос.задание на 2023-2024 год '!F172</f>
        <v>0</v>
      </c>
      <c r="G68" s="3">
        <f>H68+I68</f>
        <v>0</v>
      </c>
      <c r="H68" s="1">
        <f>'гос.задание на 2023-2024 год '!H172</f>
        <v>0</v>
      </c>
      <c r="I68" s="1">
        <f>'гос.задание на 2023-2024 год '!I172</f>
        <v>0</v>
      </c>
    </row>
    <row r="69" spans="1:9" ht="23.25" customHeight="1" x14ac:dyDescent="0.3">
      <c r="A69" s="230" t="s">
        <v>17</v>
      </c>
      <c r="B69" s="231" t="s">
        <v>5</v>
      </c>
      <c r="C69" s="231">
        <v>223</v>
      </c>
      <c r="D69" s="3">
        <f>E69+F69</f>
        <v>3296536.8299999996</v>
      </c>
      <c r="E69" s="1">
        <f>E74+E75+E76+E77+E78</f>
        <v>3296536.8299999996</v>
      </c>
      <c r="F69" s="1">
        <f>F74+F75+F76+F77+F78</f>
        <v>0</v>
      </c>
      <c r="G69" s="3">
        <f>H69+I69</f>
        <v>3296536.8299999996</v>
      </c>
      <c r="H69" s="1">
        <f>H74+H75+H76+H77+H78</f>
        <v>3296536.8299999996</v>
      </c>
      <c r="I69" s="1">
        <f>I74+I75+I76+I77+I78</f>
        <v>0</v>
      </c>
    </row>
    <row r="70" spans="1:9" ht="18" x14ac:dyDescent="0.3">
      <c r="A70" s="230" t="s">
        <v>6</v>
      </c>
      <c r="B70" s="231"/>
      <c r="C70" s="231"/>
      <c r="D70" s="3"/>
      <c r="E70" s="1"/>
      <c r="F70" s="1"/>
      <c r="G70" s="3"/>
      <c r="H70" s="1"/>
      <c r="I70" s="1"/>
    </row>
    <row r="71" spans="1:9" ht="42" customHeight="1" x14ac:dyDescent="0.3">
      <c r="A71" s="261" t="s">
        <v>18</v>
      </c>
      <c r="B71" s="262">
        <v>244</v>
      </c>
      <c r="C71" s="262">
        <v>223</v>
      </c>
      <c r="D71" s="3"/>
      <c r="E71" s="1"/>
      <c r="F71" s="1"/>
      <c r="G71" s="3"/>
      <c r="H71" s="1"/>
      <c r="I71" s="1"/>
    </row>
    <row r="72" spans="1:9" ht="36" x14ac:dyDescent="0.3">
      <c r="A72" s="316" t="s">
        <v>19</v>
      </c>
      <c r="B72" s="317">
        <v>244</v>
      </c>
      <c r="C72" s="317">
        <v>223</v>
      </c>
      <c r="D72" s="3"/>
      <c r="E72" s="1"/>
      <c r="F72" s="1"/>
      <c r="G72" s="3"/>
      <c r="H72" s="1"/>
      <c r="I72" s="1"/>
    </row>
    <row r="73" spans="1:9" ht="44.25" customHeight="1" x14ac:dyDescent="0.3">
      <c r="A73" s="316" t="s">
        <v>20</v>
      </c>
      <c r="B73" s="317">
        <v>244</v>
      </c>
      <c r="C73" s="317">
        <v>223</v>
      </c>
      <c r="D73" s="3"/>
      <c r="E73" s="1"/>
      <c r="F73" s="1"/>
      <c r="G73" s="3"/>
      <c r="H73" s="1"/>
      <c r="I73" s="1"/>
    </row>
    <row r="74" spans="1:9" ht="38.4" customHeight="1" x14ac:dyDescent="0.3">
      <c r="A74" s="230" t="s">
        <v>18</v>
      </c>
      <c r="B74" s="231">
        <v>247</v>
      </c>
      <c r="C74" s="231">
        <v>223</v>
      </c>
      <c r="D74" s="3">
        <f t="shared" ref="D74:D79" si="6">E74+F74</f>
        <v>2266736.38</v>
      </c>
      <c r="E74" s="1">
        <f>'гос.задание на 2023-2024 год '!E175</f>
        <v>2266736.38</v>
      </c>
      <c r="F74" s="1">
        <f>'гос.задание на 2023-2024 год '!F175</f>
        <v>0</v>
      </c>
      <c r="G74" s="3">
        <f t="shared" ref="G74:G79" si="7">H74+I74</f>
        <v>2266736.38</v>
      </c>
      <c r="H74" s="1">
        <f>'гос.задание на 2023-2024 год '!H175</f>
        <v>2266736.38</v>
      </c>
      <c r="I74" s="1">
        <f>'гос.задание на 2023-2024 год '!I175</f>
        <v>0</v>
      </c>
    </row>
    <row r="75" spans="1:9" ht="36" x14ac:dyDescent="0.3">
      <c r="A75" s="230" t="s">
        <v>19</v>
      </c>
      <c r="B75" s="231">
        <v>247</v>
      </c>
      <c r="C75" s="231">
        <v>223</v>
      </c>
      <c r="D75" s="3">
        <f t="shared" si="6"/>
        <v>0</v>
      </c>
      <c r="E75" s="1">
        <f>'гос.задание на 2023-2024 год '!E176</f>
        <v>0</v>
      </c>
      <c r="F75" s="1">
        <f>'гос.задание на 2023-2024 год '!F176</f>
        <v>0</v>
      </c>
      <c r="G75" s="3">
        <f t="shared" si="7"/>
        <v>0</v>
      </c>
      <c r="H75" s="1">
        <f>'гос.задание на 2023-2024 год '!H176</f>
        <v>0</v>
      </c>
      <c r="I75" s="1">
        <f>'гос.задание на 2023-2024 год '!I176</f>
        <v>0</v>
      </c>
    </row>
    <row r="76" spans="1:9" ht="37.950000000000003" customHeight="1" x14ac:dyDescent="0.3">
      <c r="A76" s="230" t="s">
        <v>20</v>
      </c>
      <c r="B76" s="231">
        <v>247</v>
      </c>
      <c r="C76" s="231">
        <v>223</v>
      </c>
      <c r="D76" s="3">
        <f t="shared" si="6"/>
        <v>593608.81000000006</v>
      </c>
      <c r="E76" s="1">
        <f>'гос.задание на 2023-2024 год '!E177</f>
        <v>593608.81000000006</v>
      </c>
      <c r="F76" s="1">
        <f>'гос.задание на 2023-2024 год '!F177</f>
        <v>0</v>
      </c>
      <c r="G76" s="3">
        <f t="shared" si="7"/>
        <v>593608.81000000006</v>
      </c>
      <c r="H76" s="1">
        <f>'гос.задание на 2023-2024 год '!H177</f>
        <v>593608.81000000006</v>
      </c>
      <c r="I76" s="1">
        <f>'гос.задание на 2023-2024 год '!I177</f>
        <v>0</v>
      </c>
    </row>
    <row r="77" spans="1:9" ht="57" customHeight="1" x14ac:dyDescent="0.3">
      <c r="A77" s="230" t="s">
        <v>21</v>
      </c>
      <c r="B77" s="231">
        <v>244</v>
      </c>
      <c r="C77" s="231">
        <v>223</v>
      </c>
      <c r="D77" s="3">
        <f t="shared" si="6"/>
        <v>300673.09000000003</v>
      </c>
      <c r="E77" s="1">
        <f>'гос.задание на 2023-2024 год '!E178</f>
        <v>300673.09000000003</v>
      </c>
      <c r="F77" s="1">
        <f>'гос.задание на 2023-2024 год '!F178</f>
        <v>0</v>
      </c>
      <c r="G77" s="3">
        <f t="shared" si="7"/>
        <v>300673.09000000003</v>
      </c>
      <c r="H77" s="1">
        <f>'гос.задание на 2023-2024 год '!H178</f>
        <v>300673.09000000003</v>
      </c>
      <c r="I77" s="1">
        <f>'гос.задание на 2023-2024 год '!I178</f>
        <v>0</v>
      </c>
    </row>
    <row r="78" spans="1:9" ht="36" x14ac:dyDescent="0.3">
      <c r="A78" s="230" t="s">
        <v>22</v>
      </c>
      <c r="B78" s="231">
        <v>244</v>
      </c>
      <c r="C78" s="231">
        <v>223</v>
      </c>
      <c r="D78" s="3">
        <f t="shared" si="6"/>
        <v>135518.54999999999</v>
      </c>
      <c r="E78" s="1">
        <f>'гос.задание на 2023-2024 год '!E179</f>
        <v>135518.54999999999</v>
      </c>
      <c r="F78" s="1">
        <f>'гос.задание на 2023-2024 год '!F179</f>
        <v>0</v>
      </c>
      <c r="G78" s="3">
        <f t="shared" si="7"/>
        <v>135518.54999999999</v>
      </c>
      <c r="H78" s="1">
        <f>'гос.задание на 2023-2024 год '!H179</f>
        <v>135518.54999999999</v>
      </c>
      <c r="I78" s="1">
        <f>'гос.задание на 2023-2024 год '!I179</f>
        <v>0</v>
      </c>
    </row>
    <row r="79" spans="1:9" ht="123" customHeight="1" x14ac:dyDescent="0.3">
      <c r="A79" s="235" t="s">
        <v>23</v>
      </c>
      <c r="B79" s="231">
        <v>244</v>
      </c>
      <c r="C79" s="231">
        <v>224</v>
      </c>
      <c r="D79" s="3">
        <f t="shared" si="6"/>
        <v>0</v>
      </c>
      <c r="E79" s="1">
        <f>'гос.задание на 2023-2024 год '!E180</f>
        <v>0</v>
      </c>
      <c r="F79" s="1">
        <f>'гос.задание на 2023-2024 год '!F180</f>
        <v>0</v>
      </c>
      <c r="G79" s="3">
        <f t="shared" si="7"/>
        <v>0</v>
      </c>
      <c r="H79" s="1">
        <f>'гос.задание на 2023-2024 год '!H180</f>
        <v>0</v>
      </c>
      <c r="I79" s="1">
        <f>'гос.задание на 2023-2024 год '!I180</f>
        <v>0</v>
      </c>
    </row>
    <row r="80" spans="1:9" ht="54" x14ac:dyDescent="0.3">
      <c r="A80" s="230" t="s">
        <v>24</v>
      </c>
      <c r="B80" s="231" t="s">
        <v>5</v>
      </c>
      <c r="C80" s="231">
        <v>225</v>
      </c>
      <c r="D80" s="1">
        <f t="shared" ref="D80:I80" si="8">D81+D82</f>
        <v>173786.67</v>
      </c>
      <c r="E80" s="1">
        <f t="shared" si="8"/>
        <v>173786.67</v>
      </c>
      <c r="F80" s="1">
        <f t="shared" si="8"/>
        <v>0</v>
      </c>
      <c r="G80" s="1">
        <f t="shared" si="8"/>
        <v>173786.67</v>
      </c>
      <c r="H80" s="1">
        <f t="shared" si="8"/>
        <v>173786.67</v>
      </c>
      <c r="I80" s="1">
        <f t="shared" si="8"/>
        <v>0</v>
      </c>
    </row>
    <row r="81" spans="1:9" ht="18" x14ac:dyDescent="0.3">
      <c r="A81" s="407" t="s">
        <v>6</v>
      </c>
      <c r="B81" s="231">
        <v>243</v>
      </c>
      <c r="C81" s="231">
        <v>225</v>
      </c>
      <c r="D81" s="3">
        <f t="shared" ref="D81:D92" si="9">E81+F81</f>
        <v>0</v>
      </c>
      <c r="E81" s="1">
        <f>'гос.задание на 2023-2024 год '!E182</f>
        <v>0</v>
      </c>
      <c r="F81" s="1">
        <f>'гос.задание на 2023-2024 год '!F182</f>
        <v>0</v>
      </c>
      <c r="G81" s="3">
        <f t="shared" ref="G81:G92" si="10">H81+I81</f>
        <v>0</v>
      </c>
      <c r="H81" s="1">
        <f>'гос.задание на 2023-2024 год '!H182</f>
        <v>0</v>
      </c>
      <c r="I81" s="1">
        <f>'гос.задание на 2023-2024 год '!I182</f>
        <v>0</v>
      </c>
    </row>
    <row r="82" spans="1:9" ht="18" x14ac:dyDescent="0.3">
      <c r="A82" s="407"/>
      <c r="B82" s="231">
        <v>244</v>
      </c>
      <c r="C82" s="231">
        <v>225</v>
      </c>
      <c r="D82" s="3">
        <f t="shared" si="9"/>
        <v>173786.67</v>
      </c>
      <c r="E82" s="1">
        <f>'гос.задание на 2023-2024 год '!E183</f>
        <v>173786.67</v>
      </c>
      <c r="F82" s="1">
        <f>'гос.задание на 2023-2024 год '!F183</f>
        <v>0</v>
      </c>
      <c r="G82" s="3">
        <f t="shared" si="10"/>
        <v>173786.67</v>
      </c>
      <c r="H82" s="1">
        <f>'гос.задание на 2023-2024 год '!H183</f>
        <v>173786.67</v>
      </c>
      <c r="I82" s="1">
        <f>'гос.задание на 2023-2024 год '!I183</f>
        <v>0</v>
      </c>
    </row>
    <row r="83" spans="1:9" ht="21" customHeight="1" x14ac:dyDescent="0.3">
      <c r="A83" s="230" t="s">
        <v>58</v>
      </c>
      <c r="B83" s="231" t="s">
        <v>5</v>
      </c>
      <c r="C83" s="231">
        <v>226</v>
      </c>
      <c r="D83" s="3">
        <f t="shared" si="9"/>
        <v>1727988.4</v>
      </c>
      <c r="E83" s="1">
        <f>E84+E85</f>
        <v>1727988.4</v>
      </c>
      <c r="F83" s="1">
        <f>F84+F85</f>
        <v>0</v>
      </c>
      <c r="G83" s="3">
        <f t="shared" si="10"/>
        <v>1727988.4</v>
      </c>
      <c r="H83" s="1">
        <f>H84+H85</f>
        <v>1727988.4</v>
      </c>
      <c r="I83" s="1">
        <f>I84+I85</f>
        <v>0</v>
      </c>
    </row>
    <row r="84" spans="1:9" ht="18" x14ac:dyDescent="0.3">
      <c r="A84" s="393" t="s">
        <v>6</v>
      </c>
      <c r="B84" s="231">
        <v>243</v>
      </c>
      <c r="C84" s="231">
        <v>226</v>
      </c>
      <c r="D84" s="3">
        <f t="shared" si="9"/>
        <v>0</v>
      </c>
      <c r="E84" s="1">
        <f>'гос.задание на 2023-2024 год '!E185</f>
        <v>0</v>
      </c>
      <c r="F84" s="1">
        <f>'гос.задание на 2023-2024 год '!F185</f>
        <v>0</v>
      </c>
      <c r="G84" s="3">
        <f t="shared" si="10"/>
        <v>0</v>
      </c>
      <c r="H84" s="1">
        <f>'гос.задание на 2023-2024 год '!H185</f>
        <v>0</v>
      </c>
      <c r="I84" s="1">
        <f>'гос.задание на 2023-2024 год '!I185</f>
        <v>0</v>
      </c>
    </row>
    <row r="85" spans="1:9" ht="18" x14ac:dyDescent="0.3">
      <c r="A85" s="394"/>
      <c r="B85" s="231">
        <v>244</v>
      </c>
      <c r="C85" s="231">
        <v>226</v>
      </c>
      <c r="D85" s="3">
        <f t="shared" si="9"/>
        <v>1727988.4</v>
      </c>
      <c r="E85" s="1">
        <f>'гос.задание на 2023-2024 год '!E186</f>
        <v>1727988.4</v>
      </c>
      <c r="F85" s="1">
        <f>'гос.задание на 2023-2024 год '!F186</f>
        <v>0</v>
      </c>
      <c r="G85" s="3">
        <f t="shared" si="10"/>
        <v>1727988.4</v>
      </c>
      <c r="H85" s="1">
        <f>'гос.задание на 2023-2024 год '!H186</f>
        <v>1727988.4</v>
      </c>
      <c r="I85" s="1">
        <f>'гос.задание на 2023-2024 год '!I186</f>
        <v>0</v>
      </c>
    </row>
    <row r="86" spans="1:9" ht="18" x14ac:dyDescent="0.3">
      <c r="A86" s="230" t="s">
        <v>25</v>
      </c>
      <c r="B86" s="231">
        <v>244</v>
      </c>
      <c r="C86" s="231">
        <v>227</v>
      </c>
      <c r="D86" s="3">
        <f t="shared" si="9"/>
        <v>15000</v>
      </c>
      <c r="E86" s="1">
        <f>'гос.задание на 2023-2024 год '!E187</f>
        <v>15000</v>
      </c>
      <c r="F86" s="1">
        <f>'гос.задание на 2023-2024 год '!F187</f>
        <v>0</v>
      </c>
      <c r="G86" s="3">
        <f t="shared" si="10"/>
        <v>15000</v>
      </c>
      <c r="H86" s="1">
        <f>'гос.задание на 2023-2024 год '!H187</f>
        <v>15000</v>
      </c>
      <c r="I86" s="1">
        <f>'гос.задание на 2023-2024 год '!I187</f>
        <v>0</v>
      </c>
    </row>
    <row r="87" spans="1:9" ht="54" x14ac:dyDescent="0.3">
      <c r="A87" s="261" t="s">
        <v>445</v>
      </c>
      <c r="B87" s="262">
        <v>244</v>
      </c>
      <c r="C87" s="262">
        <v>228</v>
      </c>
      <c r="D87" s="3">
        <v>0</v>
      </c>
      <c r="E87" s="1">
        <v>0</v>
      </c>
      <c r="F87" s="1">
        <v>0</v>
      </c>
      <c r="G87" s="3">
        <v>0</v>
      </c>
      <c r="H87" s="1">
        <v>0</v>
      </c>
      <c r="I87" s="1">
        <v>0</v>
      </c>
    </row>
    <row r="88" spans="1:9" ht="18" x14ac:dyDescent="0.3">
      <c r="A88" s="230" t="s">
        <v>30</v>
      </c>
      <c r="B88" s="231" t="s">
        <v>5</v>
      </c>
      <c r="C88" s="231">
        <v>290</v>
      </c>
      <c r="D88" s="3">
        <f t="shared" si="9"/>
        <v>0</v>
      </c>
      <c r="E88" s="1">
        <f>E90+E91</f>
        <v>0</v>
      </c>
      <c r="F88" s="1">
        <f>F90+F91</f>
        <v>0</v>
      </c>
      <c r="G88" s="3">
        <f t="shared" si="10"/>
        <v>0</v>
      </c>
      <c r="H88" s="1">
        <f>H90+H91</f>
        <v>0</v>
      </c>
      <c r="I88" s="1">
        <f>I90+I91</f>
        <v>0</v>
      </c>
    </row>
    <row r="89" spans="1:9" ht="18" x14ac:dyDescent="0.3">
      <c r="A89" s="230" t="s">
        <v>9</v>
      </c>
      <c r="B89" s="231"/>
      <c r="C89" s="231"/>
      <c r="D89" s="3">
        <f t="shared" si="9"/>
        <v>0</v>
      </c>
      <c r="E89" s="1"/>
      <c r="F89" s="1"/>
      <c r="G89" s="3">
        <f t="shared" si="10"/>
        <v>0</v>
      </c>
      <c r="H89" s="1"/>
      <c r="I89" s="1"/>
    </row>
    <row r="90" spans="1:9" ht="54" x14ac:dyDescent="0.3">
      <c r="A90" s="230" t="s">
        <v>34</v>
      </c>
      <c r="B90" s="231">
        <v>244</v>
      </c>
      <c r="C90" s="231">
        <v>296</v>
      </c>
      <c r="D90" s="3">
        <f t="shared" si="9"/>
        <v>0</v>
      </c>
      <c r="E90" s="1">
        <f>'гос.задание на 2023-2024 год '!E190</f>
        <v>0</v>
      </c>
      <c r="F90" s="1">
        <f>'гос.задание на 2023-2024 год '!F190</f>
        <v>0</v>
      </c>
      <c r="G90" s="3">
        <f t="shared" si="10"/>
        <v>0</v>
      </c>
      <c r="H90" s="1">
        <f>'гос.задание на 2023-2024 год '!H190</f>
        <v>0</v>
      </c>
      <c r="I90" s="1">
        <f>'гос.задание на 2023-2024 год '!I190</f>
        <v>0</v>
      </c>
    </row>
    <row r="91" spans="1:9" ht="54" x14ac:dyDescent="0.3">
      <c r="A91" s="230" t="s">
        <v>35</v>
      </c>
      <c r="B91" s="231">
        <v>244</v>
      </c>
      <c r="C91" s="231">
        <v>297</v>
      </c>
      <c r="D91" s="3">
        <f t="shared" si="9"/>
        <v>0</v>
      </c>
      <c r="E91" s="1">
        <f>'гос.задание на 2023-2024 год '!E191</f>
        <v>0</v>
      </c>
      <c r="F91" s="1">
        <f>'гос.задание на 2023-2024 год '!F191</f>
        <v>0</v>
      </c>
      <c r="G91" s="3">
        <f t="shared" si="10"/>
        <v>0</v>
      </c>
      <c r="H91" s="1">
        <f>'гос.задание на 2023-2024 год '!H191</f>
        <v>0</v>
      </c>
      <c r="I91" s="1">
        <f>'гос.задание на 2023-2024 год '!I191</f>
        <v>0</v>
      </c>
    </row>
    <row r="92" spans="1:9" ht="54" x14ac:dyDescent="0.3">
      <c r="A92" s="230" t="s">
        <v>59</v>
      </c>
      <c r="B92" s="231" t="s">
        <v>5</v>
      </c>
      <c r="C92" s="231">
        <v>300</v>
      </c>
      <c r="D92" s="3">
        <f t="shared" si="9"/>
        <v>391950</v>
      </c>
      <c r="E92" s="1">
        <f>E94+E96+E95</f>
        <v>391950</v>
      </c>
      <c r="F92" s="1">
        <f>F94+F96+F95</f>
        <v>0</v>
      </c>
      <c r="G92" s="3">
        <f t="shared" si="10"/>
        <v>391950</v>
      </c>
      <c r="H92" s="1">
        <f>H94+H96+H95</f>
        <v>391950</v>
      </c>
      <c r="I92" s="1">
        <f>I94+I96+I95</f>
        <v>0</v>
      </c>
    </row>
    <row r="93" spans="1:9" ht="18" x14ac:dyDescent="0.3">
      <c r="A93" s="230" t="s">
        <v>9</v>
      </c>
      <c r="B93" s="231"/>
      <c r="C93" s="231"/>
      <c r="D93" s="3"/>
      <c r="E93" s="1"/>
      <c r="F93" s="1"/>
      <c r="G93" s="3"/>
      <c r="H93" s="1"/>
      <c r="I93" s="1"/>
    </row>
    <row r="94" spans="1:9" ht="38.25" customHeight="1" x14ac:dyDescent="0.3">
      <c r="A94" s="230" t="s">
        <v>36</v>
      </c>
      <c r="B94" s="231">
        <v>244</v>
      </c>
      <c r="C94" s="231">
        <v>310</v>
      </c>
      <c r="D94" s="3">
        <f>E94+F94</f>
        <v>0</v>
      </c>
      <c r="E94" s="1">
        <f>'гос.задание на 2023-2024 год '!E194</f>
        <v>0</v>
      </c>
      <c r="F94" s="1">
        <f>'гос.задание на 2023-2024 год '!F194</f>
        <v>0</v>
      </c>
      <c r="G94" s="3">
        <f>H94+I94</f>
        <v>0</v>
      </c>
      <c r="H94" s="1">
        <f>'гос.задание на 2023-2024 год '!H194</f>
        <v>0</v>
      </c>
      <c r="I94" s="1">
        <f>'гос.задание на 2023-2024 год '!I194</f>
        <v>0</v>
      </c>
    </row>
    <row r="95" spans="1:9" ht="63.75" customHeight="1" x14ac:dyDescent="0.3">
      <c r="A95" s="230" t="s">
        <v>68</v>
      </c>
      <c r="B95" s="231">
        <v>244</v>
      </c>
      <c r="C95" s="231">
        <v>320</v>
      </c>
      <c r="D95" s="3">
        <f>E95+F95</f>
        <v>0</v>
      </c>
      <c r="E95" s="1">
        <f>'гос.задание на 2023-2024 год '!E195</f>
        <v>0</v>
      </c>
      <c r="F95" s="1">
        <f>'гос.задание на 2023-2024 год '!F195</f>
        <v>0</v>
      </c>
      <c r="G95" s="3">
        <f>H95+I95</f>
        <v>0</v>
      </c>
      <c r="H95" s="1">
        <f>'гос.задание на 2023-2024 год '!H195</f>
        <v>0</v>
      </c>
      <c r="I95" s="1">
        <f>'гос.задание на 2023-2024 год '!I195</f>
        <v>0</v>
      </c>
    </row>
    <row r="96" spans="1:9" ht="58.5" customHeight="1" x14ac:dyDescent="0.3">
      <c r="A96" s="230" t="s">
        <v>60</v>
      </c>
      <c r="B96" s="231" t="s">
        <v>5</v>
      </c>
      <c r="C96" s="231">
        <v>340</v>
      </c>
      <c r="D96" s="3">
        <f>E96+F96</f>
        <v>391950</v>
      </c>
      <c r="E96" s="1">
        <f>E98+E99+E100+E101+E102+E103+E105</f>
        <v>391950</v>
      </c>
      <c r="F96" s="1">
        <f>F98+F99+F100+F101+F102+F103+F105</f>
        <v>0</v>
      </c>
      <c r="G96" s="3">
        <f>H96+I96</f>
        <v>391950</v>
      </c>
      <c r="H96" s="1">
        <f>H98+H99+H100+H101+H102+H103+H105</f>
        <v>391950</v>
      </c>
      <c r="I96" s="1">
        <f>I98+I99+I100+I101+I102+I103+I105</f>
        <v>0</v>
      </c>
    </row>
    <row r="97" spans="1:9" ht="18" x14ac:dyDescent="0.3">
      <c r="A97" s="230" t="s">
        <v>6</v>
      </c>
      <c r="B97" s="231"/>
      <c r="C97" s="231"/>
      <c r="D97" s="3"/>
      <c r="E97" s="1"/>
      <c r="F97" s="1"/>
      <c r="G97" s="3"/>
      <c r="H97" s="1"/>
      <c r="I97" s="1"/>
    </row>
    <row r="98" spans="1:9" ht="113.4" customHeight="1" x14ac:dyDescent="0.3">
      <c r="A98" s="230" t="s">
        <v>37</v>
      </c>
      <c r="B98" s="231">
        <v>244</v>
      </c>
      <c r="C98" s="231">
        <v>341</v>
      </c>
      <c r="D98" s="3">
        <f t="shared" ref="D98:D105" si="11">E98+F98</f>
        <v>0</v>
      </c>
      <c r="E98" s="1">
        <f>'гос.задание на 2023-2024 год '!E198</f>
        <v>0</v>
      </c>
      <c r="F98" s="1">
        <f>'гос.задание на 2023-2024 год '!F198</f>
        <v>0</v>
      </c>
      <c r="G98" s="3">
        <f t="shared" ref="G98:G105" si="12">H98+I98</f>
        <v>0</v>
      </c>
      <c r="H98" s="1">
        <f>'гос.задание на 2023-2024 год '!H198</f>
        <v>0</v>
      </c>
      <c r="I98" s="1">
        <f>'гос.задание на 2023-2024 год '!I198</f>
        <v>0</v>
      </c>
    </row>
    <row r="99" spans="1:9" ht="48.75" customHeight="1" x14ac:dyDescent="0.3">
      <c r="A99" s="230" t="s">
        <v>38</v>
      </c>
      <c r="B99" s="231">
        <v>244</v>
      </c>
      <c r="C99" s="231">
        <v>342</v>
      </c>
      <c r="D99" s="3">
        <f t="shared" si="11"/>
        <v>0</v>
      </c>
      <c r="E99" s="1">
        <f>'гос.задание на 2023-2024 год '!E199</f>
        <v>0</v>
      </c>
      <c r="F99" s="1">
        <f>'гос.задание на 2023-2024 год '!F199</f>
        <v>0</v>
      </c>
      <c r="G99" s="3">
        <f t="shared" si="12"/>
        <v>0</v>
      </c>
      <c r="H99" s="1">
        <f>'гос.задание на 2023-2024 год '!H199</f>
        <v>0</v>
      </c>
      <c r="I99" s="1">
        <f>'гос.задание на 2023-2024 год '!I199</f>
        <v>0</v>
      </c>
    </row>
    <row r="100" spans="1:9" ht="67.5" customHeight="1" x14ac:dyDescent="0.3">
      <c r="A100" s="230" t="s">
        <v>39</v>
      </c>
      <c r="B100" s="231">
        <v>244</v>
      </c>
      <c r="C100" s="231">
        <v>343</v>
      </c>
      <c r="D100" s="3">
        <f t="shared" si="11"/>
        <v>0</v>
      </c>
      <c r="E100" s="1">
        <f>'гос.задание на 2023-2024 год '!E200</f>
        <v>0</v>
      </c>
      <c r="F100" s="1">
        <f>'гос.задание на 2023-2024 год '!F200</f>
        <v>0</v>
      </c>
      <c r="G100" s="3">
        <f t="shared" si="12"/>
        <v>0</v>
      </c>
      <c r="H100" s="1">
        <f>'гос.задание на 2023-2024 год '!H200</f>
        <v>0</v>
      </c>
      <c r="I100" s="1">
        <f>'гос.задание на 2023-2024 год '!I200</f>
        <v>0</v>
      </c>
    </row>
    <row r="101" spans="1:9" ht="60.6" customHeight="1" x14ac:dyDescent="0.3">
      <c r="A101" s="230" t="s">
        <v>40</v>
      </c>
      <c r="B101" s="231">
        <v>244</v>
      </c>
      <c r="C101" s="231">
        <v>344</v>
      </c>
      <c r="D101" s="3">
        <f t="shared" si="11"/>
        <v>0</v>
      </c>
      <c r="E101" s="1">
        <f>'гос.задание на 2023-2024 год '!E201</f>
        <v>0</v>
      </c>
      <c r="F101" s="1">
        <f>'гос.задание на 2023-2024 год '!F201</f>
        <v>0</v>
      </c>
      <c r="G101" s="3">
        <f t="shared" si="12"/>
        <v>0</v>
      </c>
      <c r="H101" s="1">
        <f>'гос.задание на 2023-2024 год '!H201</f>
        <v>0</v>
      </c>
      <c r="I101" s="1">
        <f>'гос.задание на 2023-2024 год '!I201</f>
        <v>0</v>
      </c>
    </row>
    <row r="102" spans="1:9" ht="43.95" customHeight="1" x14ac:dyDescent="0.3">
      <c r="A102" s="230" t="s">
        <v>41</v>
      </c>
      <c r="B102" s="231">
        <v>244</v>
      </c>
      <c r="C102" s="231">
        <v>345</v>
      </c>
      <c r="D102" s="3">
        <f t="shared" si="11"/>
        <v>0</v>
      </c>
      <c r="E102" s="1">
        <f>'гос.задание на 2023-2024 год '!E202</f>
        <v>0</v>
      </c>
      <c r="F102" s="1">
        <f>'гос.задание на 2023-2024 год '!F202</f>
        <v>0</v>
      </c>
      <c r="G102" s="3">
        <f t="shared" si="12"/>
        <v>0</v>
      </c>
      <c r="H102" s="1">
        <f>'гос.задание на 2023-2024 год '!H202</f>
        <v>0</v>
      </c>
      <c r="I102" s="1">
        <f>'гос.задание на 2023-2024 год '!I202</f>
        <v>0</v>
      </c>
    </row>
    <row r="103" spans="1:9" ht="60.75" customHeight="1" x14ac:dyDescent="0.3">
      <c r="A103" s="230" t="s">
        <v>42</v>
      </c>
      <c r="B103" s="231">
        <v>244</v>
      </c>
      <c r="C103" s="231">
        <v>346</v>
      </c>
      <c r="D103" s="3">
        <f t="shared" si="11"/>
        <v>391950</v>
      </c>
      <c r="E103" s="1">
        <f>'гос.задание на 2023-2024 год '!E203</f>
        <v>391950</v>
      </c>
      <c r="F103" s="1">
        <f>'гос.задание на 2023-2024 год '!F203</f>
        <v>0</v>
      </c>
      <c r="G103" s="3">
        <f t="shared" si="12"/>
        <v>391950</v>
      </c>
      <c r="H103" s="1">
        <f>'гос.задание на 2023-2024 год '!H203</f>
        <v>391950</v>
      </c>
      <c r="I103" s="1">
        <f>'гос.задание на 2023-2024 год '!I203</f>
        <v>0</v>
      </c>
    </row>
    <row r="104" spans="1:9" ht="76.5" customHeight="1" x14ac:dyDescent="0.3">
      <c r="A104" s="261" t="s">
        <v>446</v>
      </c>
      <c r="B104" s="262">
        <v>244</v>
      </c>
      <c r="C104" s="262">
        <v>347</v>
      </c>
      <c r="D104" s="3">
        <v>0</v>
      </c>
      <c r="E104" s="1">
        <v>0</v>
      </c>
      <c r="F104" s="1">
        <v>0</v>
      </c>
      <c r="G104" s="3">
        <v>0</v>
      </c>
      <c r="H104" s="1">
        <v>0</v>
      </c>
      <c r="I104" s="1">
        <v>0</v>
      </c>
    </row>
    <row r="105" spans="1:9" ht="73.5" customHeight="1" x14ac:dyDescent="0.3">
      <c r="A105" s="235" t="s">
        <v>43</v>
      </c>
      <c r="B105" s="231">
        <v>244</v>
      </c>
      <c r="C105" s="231">
        <v>349</v>
      </c>
      <c r="D105" s="3">
        <f t="shared" si="11"/>
        <v>0</v>
      </c>
      <c r="E105" s="1">
        <f>'гос.задание на 2023-2024 год '!E204</f>
        <v>0</v>
      </c>
      <c r="F105" s="1">
        <f>'гос.задание на 2023-2024 год '!F204</f>
        <v>0</v>
      </c>
      <c r="G105" s="3">
        <f t="shared" si="12"/>
        <v>0</v>
      </c>
      <c r="H105" s="1">
        <f>'гос.задание на 2023-2024 год '!H204</f>
        <v>0</v>
      </c>
      <c r="I105" s="1">
        <f>'гос.задание на 2023-2024 год '!I204</f>
        <v>0</v>
      </c>
    </row>
    <row r="107" spans="1:9" ht="17.25" customHeight="1" x14ac:dyDescent="0.35">
      <c r="A107" s="396" t="s">
        <v>52</v>
      </c>
      <c r="B107" s="396"/>
      <c r="C107" s="400"/>
      <c r="D107" s="400"/>
      <c r="E107" s="400" t="s">
        <v>267</v>
      </c>
      <c r="F107" s="400"/>
    </row>
    <row r="108" spans="1:9" ht="17.25" customHeight="1" x14ac:dyDescent="0.35">
      <c r="A108" s="27"/>
      <c r="B108" s="174"/>
      <c r="C108" s="173"/>
      <c r="D108" s="173" t="s">
        <v>53</v>
      </c>
      <c r="E108" s="401" t="s">
        <v>54</v>
      </c>
      <c r="F108" s="401"/>
    </row>
    <row r="109" spans="1:9" ht="17.25" customHeight="1" x14ac:dyDescent="0.35">
      <c r="A109" s="27"/>
      <c r="B109" s="176"/>
      <c r="C109" s="8"/>
      <c r="D109" s="8"/>
      <c r="E109" s="8"/>
      <c r="F109" s="8"/>
    </row>
    <row r="110" spans="1:9" ht="17.25" customHeight="1" x14ac:dyDescent="0.35">
      <c r="A110" s="396" t="s">
        <v>55</v>
      </c>
      <c r="B110" s="396"/>
      <c r="C110" s="400"/>
      <c r="D110" s="400"/>
      <c r="E110" s="400" t="s">
        <v>464</v>
      </c>
      <c r="F110" s="400"/>
    </row>
    <row r="111" spans="1:9" ht="17.25" customHeight="1" x14ac:dyDescent="0.35">
      <c r="A111" s="27"/>
      <c r="B111" s="174"/>
      <c r="C111" s="173"/>
      <c r="D111" s="173" t="s">
        <v>53</v>
      </c>
      <c r="E111" s="401" t="s">
        <v>54</v>
      </c>
      <c r="F111" s="401"/>
    </row>
    <row r="112" spans="1:9" ht="17.25" customHeight="1" x14ac:dyDescent="0.35">
      <c r="A112" s="27"/>
      <c r="B112" s="175"/>
      <c r="C112" s="114"/>
      <c r="D112" s="8"/>
      <c r="E112" s="77"/>
      <c r="F112" s="77"/>
    </row>
    <row r="113" spans="1:6" ht="17.25" customHeight="1" x14ac:dyDescent="0.35">
      <c r="A113" s="396" t="s">
        <v>56</v>
      </c>
      <c r="B113" s="396"/>
      <c r="C113" s="400"/>
      <c r="D113" s="400"/>
      <c r="E113" s="400" t="s">
        <v>268</v>
      </c>
      <c r="F113" s="400"/>
    </row>
    <row r="114" spans="1:6" ht="17.25" customHeight="1" x14ac:dyDescent="0.35">
      <c r="A114" s="27"/>
      <c r="B114" s="174"/>
      <c r="C114" s="173"/>
      <c r="D114" s="173" t="s">
        <v>53</v>
      </c>
      <c r="E114" s="401" t="s">
        <v>54</v>
      </c>
      <c r="F114" s="401"/>
    </row>
    <row r="115" spans="1:6" ht="17.25" customHeight="1" x14ac:dyDescent="0.35">
      <c r="A115" s="27" t="s">
        <v>428</v>
      </c>
      <c r="B115" s="8"/>
      <c r="C115" s="8"/>
      <c r="D115" s="8"/>
      <c r="E115" s="8"/>
      <c r="F115" s="8"/>
    </row>
    <row r="116" spans="1:6" ht="17.25" customHeight="1" x14ac:dyDescent="0.35">
      <c r="A116" s="396" t="s">
        <v>483</v>
      </c>
      <c r="B116" s="396"/>
      <c r="C116" s="8"/>
      <c r="D116" s="8"/>
      <c r="E116" s="8"/>
      <c r="F116" s="8"/>
    </row>
    <row r="117" spans="1:6" ht="17.25" customHeight="1" x14ac:dyDescent="0.3"/>
  </sheetData>
  <mergeCells count="30">
    <mergeCell ref="A34:A35"/>
    <mergeCell ref="A37:A38"/>
    <mergeCell ref="D5:D7"/>
    <mergeCell ref="E5:F5"/>
    <mergeCell ref="E6:F6"/>
    <mergeCell ref="A5:A7"/>
    <mergeCell ref="B5:B7"/>
    <mergeCell ref="C5:C7"/>
    <mergeCell ref="H6:I6"/>
    <mergeCell ref="A12:I12"/>
    <mergeCell ref="G5:G7"/>
    <mergeCell ref="A116:B116"/>
    <mergeCell ref="A1:I1"/>
    <mergeCell ref="A2:I2"/>
    <mergeCell ref="E111:F111"/>
    <mergeCell ref="E113:F113"/>
    <mergeCell ref="E114:F114"/>
    <mergeCell ref="E107:F107"/>
    <mergeCell ref="E108:F108"/>
    <mergeCell ref="E110:F110"/>
    <mergeCell ref="H5:I5"/>
    <mergeCell ref="A81:A82"/>
    <mergeCell ref="A84:A85"/>
    <mergeCell ref="A59:I59"/>
    <mergeCell ref="C107:D107"/>
    <mergeCell ref="C110:D110"/>
    <mergeCell ref="C113:D113"/>
    <mergeCell ref="A107:B107"/>
    <mergeCell ref="A110:B110"/>
    <mergeCell ref="A113:B113"/>
  </mergeCells>
  <pageMargins left="0.39370078740157483" right="0.39370078740157483" top="0.98425196850393704" bottom="0.78740157480314965" header="0.31496062992125984" footer="0.31496062992125984"/>
  <pageSetup paperSize="9" scale="75" firstPageNumber="12" orientation="landscape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60"/>
  <sheetViews>
    <sheetView showWhiteSpace="0" view="pageLayout" zoomScaleNormal="85" workbookViewId="0">
      <selection activeCell="C260" sqref="C260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6" width="16.44140625" style="5" customWidth="1"/>
    <col min="7" max="7" width="16.33203125" style="5" customWidth="1"/>
    <col min="8" max="8" width="12.33203125" style="5" bestFit="1" customWidth="1"/>
    <col min="9" max="9" width="13.109375" style="5" bestFit="1" customWidth="1"/>
    <col min="10" max="16384" width="8.88671875" style="5"/>
  </cols>
  <sheetData>
    <row r="1" spans="1:7" ht="40.200000000000003" customHeight="1" x14ac:dyDescent="0.3">
      <c r="A1" s="432" t="s">
        <v>451</v>
      </c>
      <c r="B1" s="432"/>
      <c r="C1" s="432"/>
      <c r="D1" s="432"/>
      <c r="E1" s="432"/>
      <c r="F1" s="432"/>
      <c r="G1" s="432"/>
    </row>
    <row r="2" spans="1:7" ht="35.4" customHeight="1" x14ac:dyDescent="0.3">
      <c r="A2" s="432" t="s">
        <v>452</v>
      </c>
      <c r="B2" s="432"/>
      <c r="C2" s="432"/>
      <c r="D2" s="432"/>
      <c r="E2" s="432"/>
      <c r="F2" s="432"/>
      <c r="G2" s="432"/>
    </row>
    <row r="3" spans="1:7" ht="27.6" customHeight="1" x14ac:dyDescent="0.3">
      <c r="A3" s="432" t="s">
        <v>167</v>
      </c>
      <c r="B3" s="432"/>
      <c r="C3" s="432"/>
      <c r="D3" s="432"/>
      <c r="E3" s="432"/>
      <c r="F3" s="432"/>
      <c r="G3" s="432"/>
    </row>
    <row r="4" spans="1:7" ht="17.399999999999999" x14ac:dyDescent="0.3">
      <c r="A4" s="96"/>
    </row>
    <row r="5" spans="1:7" ht="17.399999999999999" x14ac:dyDescent="0.3">
      <c r="A5" s="432" t="s">
        <v>173</v>
      </c>
      <c r="B5" s="432"/>
      <c r="C5" s="432"/>
      <c r="D5" s="432"/>
      <c r="E5" s="432"/>
      <c r="F5" s="432"/>
      <c r="G5" s="432"/>
    </row>
    <row r="6" spans="1:7" ht="15.75" customHeight="1" x14ac:dyDescent="0.3">
      <c r="A6" s="99"/>
      <c r="B6" s="99"/>
      <c r="C6" s="99"/>
      <c r="D6" s="99"/>
      <c r="E6" s="99"/>
      <c r="F6" s="99"/>
      <c r="G6" s="99"/>
    </row>
    <row r="7" spans="1:7" ht="18" x14ac:dyDescent="0.35">
      <c r="A7" s="7" t="s">
        <v>144</v>
      </c>
      <c r="B7" s="8">
        <v>130</v>
      </c>
    </row>
    <row r="8" spans="1:7" ht="15" x14ac:dyDescent="0.3">
      <c r="A8" s="9"/>
    </row>
    <row r="9" spans="1:7" ht="73.5" customHeight="1" x14ac:dyDescent="0.3">
      <c r="A9" s="408" t="s">
        <v>85</v>
      </c>
      <c r="B9" s="410"/>
      <c r="C9" s="115" t="s">
        <v>171</v>
      </c>
      <c r="D9" s="416" t="s">
        <v>172</v>
      </c>
      <c r="E9" s="416"/>
      <c r="F9" s="416" t="s">
        <v>170</v>
      </c>
      <c r="G9" s="416"/>
    </row>
    <row r="10" spans="1:7" ht="18" x14ac:dyDescent="0.3">
      <c r="A10" s="408">
        <v>1</v>
      </c>
      <c r="B10" s="410"/>
      <c r="C10" s="115">
        <v>2</v>
      </c>
      <c r="D10" s="416">
        <v>3</v>
      </c>
      <c r="E10" s="416"/>
      <c r="F10" s="416">
        <v>4</v>
      </c>
      <c r="G10" s="416"/>
    </row>
    <row r="11" spans="1:7" ht="55.5" customHeight="1" x14ac:dyDescent="0.3">
      <c r="A11" s="412" t="s">
        <v>169</v>
      </c>
      <c r="B11" s="414"/>
      <c r="C11" s="115" t="s">
        <v>116</v>
      </c>
      <c r="D11" s="416" t="s">
        <v>116</v>
      </c>
      <c r="E11" s="416"/>
      <c r="F11" s="417">
        <f>'гос.задание на 2023-2024 год '!E14</f>
        <v>103088521.76000001</v>
      </c>
      <c r="G11" s="417"/>
    </row>
    <row r="12" spans="1:7" ht="17.399999999999999" x14ac:dyDescent="0.3">
      <c r="A12" s="96"/>
    </row>
    <row r="13" spans="1:7" ht="33" customHeight="1" x14ac:dyDescent="0.3">
      <c r="A13" s="432" t="s">
        <v>453</v>
      </c>
      <c r="B13" s="432"/>
      <c r="C13" s="432"/>
      <c r="D13" s="432"/>
      <c r="E13" s="432"/>
      <c r="F13" s="432"/>
      <c r="G13" s="432"/>
    </row>
    <row r="14" spans="1:7" ht="17.399999999999999" x14ac:dyDescent="0.3">
      <c r="A14" s="6"/>
    </row>
    <row r="15" spans="1:7" ht="17.399999999999999" x14ac:dyDescent="0.3">
      <c r="A15" s="415" t="s">
        <v>188</v>
      </c>
      <c r="B15" s="415"/>
      <c r="C15" s="415"/>
      <c r="D15" s="415"/>
      <c r="E15" s="415"/>
      <c r="F15" s="415"/>
      <c r="G15" s="415"/>
    </row>
    <row r="16" spans="1:7" ht="18" x14ac:dyDescent="0.3">
      <c r="A16" s="7"/>
    </row>
    <row r="17" spans="1:7" ht="18" x14ac:dyDescent="0.35">
      <c r="A17" s="7" t="s">
        <v>144</v>
      </c>
      <c r="B17" s="8">
        <v>111</v>
      </c>
    </row>
    <row r="18" spans="1:7" ht="15" x14ac:dyDescent="0.3">
      <c r="A18" s="9"/>
    </row>
    <row r="19" spans="1:7" ht="37.950000000000003" customHeight="1" x14ac:dyDescent="0.3">
      <c r="A19" s="416" t="s">
        <v>75</v>
      </c>
      <c r="B19" s="416" t="s">
        <v>76</v>
      </c>
      <c r="C19" s="416" t="s">
        <v>77</v>
      </c>
      <c r="D19" s="416"/>
      <c r="E19" s="416"/>
      <c r="F19" s="416"/>
      <c r="G19" s="416" t="s">
        <v>78</v>
      </c>
    </row>
    <row r="20" spans="1:7" ht="18" customHeight="1" x14ac:dyDescent="0.3">
      <c r="A20" s="416"/>
      <c r="B20" s="416"/>
      <c r="C20" s="416" t="s">
        <v>79</v>
      </c>
      <c r="D20" s="416" t="s">
        <v>6</v>
      </c>
      <c r="E20" s="416"/>
      <c r="F20" s="416"/>
      <c r="G20" s="416"/>
    </row>
    <row r="21" spans="1:7" ht="18" customHeight="1" x14ac:dyDescent="0.3">
      <c r="A21" s="416"/>
      <c r="B21" s="416"/>
      <c r="C21" s="416"/>
      <c r="D21" s="10" t="s">
        <v>80</v>
      </c>
      <c r="E21" s="10" t="s">
        <v>81</v>
      </c>
      <c r="F21" s="10" t="s">
        <v>82</v>
      </c>
      <c r="G21" s="416"/>
    </row>
    <row r="22" spans="1:7" ht="18" x14ac:dyDescent="0.3">
      <c r="A22" s="287">
        <v>1</v>
      </c>
      <c r="B22" s="287">
        <v>2</v>
      </c>
      <c r="C22" s="287">
        <v>3</v>
      </c>
      <c r="D22" s="287">
        <v>4</v>
      </c>
      <c r="E22" s="287">
        <v>4</v>
      </c>
      <c r="F22" s="287">
        <v>5</v>
      </c>
      <c r="G22" s="287">
        <v>7</v>
      </c>
    </row>
    <row r="23" spans="1:7" x14ac:dyDescent="0.3">
      <c r="A23" s="119" t="s">
        <v>269</v>
      </c>
      <c r="B23" s="120">
        <v>1</v>
      </c>
      <c r="C23" s="288">
        <f t="shared" ref="C23:C43" si="0">SUM(D23:F23)</f>
        <v>61195.58</v>
      </c>
      <c r="D23" s="122">
        <v>17440</v>
      </c>
      <c r="E23" s="288"/>
      <c r="F23" s="288">
        <v>43755.58</v>
      </c>
      <c r="G23" s="288">
        <f t="shared" ref="G23:G86" si="1">C23*B23*12</f>
        <v>734346.96</v>
      </c>
    </row>
    <row r="24" spans="1:7" x14ac:dyDescent="0.3">
      <c r="A24" s="123" t="s">
        <v>270</v>
      </c>
      <c r="B24" s="120">
        <v>2</v>
      </c>
      <c r="C24" s="288">
        <f t="shared" si="0"/>
        <v>51402.25</v>
      </c>
      <c r="D24" s="122">
        <v>15700</v>
      </c>
      <c r="E24" s="288"/>
      <c r="F24" s="288">
        <v>35702.25</v>
      </c>
      <c r="G24" s="288">
        <f t="shared" si="1"/>
        <v>1233654</v>
      </c>
    </row>
    <row r="25" spans="1:7" ht="16.5" customHeight="1" x14ac:dyDescent="0.3">
      <c r="A25" s="119" t="s">
        <v>271</v>
      </c>
      <c r="B25" s="120">
        <v>1</v>
      </c>
      <c r="C25" s="288">
        <f t="shared" si="0"/>
        <v>43264.959999999999</v>
      </c>
      <c r="D25" s="122">
        <v>14940</v>
      </c>
      <c r="E25" s="124"/>
      <c r="F25" s="288">
        <v>28324.959999999999</v>
      </c>
      <c r="G25" s="288">
        <f t="shared" si="1"/>
        <v>519179.52000000002</v>
      </c>
    </row>
    <row r="26" spans="1:7" x14ac:dyDescent="0.3">
      <c r="A26" s="119" t="s">
        <v>272</v>
      </c>
      <c r="B26" s="120">
        <v>1</v>
      </c>
      <c r="C26" s="288">
        <f t="shared" si="0"/>
        <v>46075.64</v>
      </c>
      <c r="D26" s="122">
        <v>15700</v>
      </c>
      <c r="E26" s="288"/>
      <c r="F26" s="288">
        <v>30375.64</v>
      </c>
      <c r="G26" s="288">
        <f t="shared" si="1"/>
        <v>552907.67999999993</v>
      </c>
    </row>
    <row r="27" spans="1:7" ht="26.4" x14ac:dyDescent="0.3">
      <c r="A27" s="119" t="s">
        <v>273</v>
      </c>
      <c r="B27" s="120">
        <v>2</v>
      </c>
      <c r="C27" s="288">
        <f t="shared" si="0"/>
        <v>42739.240000000005</v>
      </c>
      <c r="D27" s="122">
        <v>14130</v>
      </c>
      <c r="E27" s="288"/>
      <c r="F27" s="288">
        <v>28609.24</v>
      </c>
      <c r="G27" s="288">
        <f t="shared" si="1"/>
        <v>1025741.7600000001</v>
      </c>
    </row>
    <row r="28" spans="1:7" x14ac:dyDescent="0.3">
      <c r="A28" s="119" t="s">
        <v>274</v>
      </c>
      <c r="B28" s="120">
        <v>3</v>
      </c>
      <c r="C28" s="288">
        <f t="shared" si="0"/>
        <v>25044.98</v>
      </c>
      <c r="D28" s="122">
        <v>13360</v>
      </c>
      <c r="E28" s="288"/>
      <c r="F28" s="288">
        <v>11684.98</v>
      </c>
      <c r="G28" s="288">
        <f t="shared" si="1"/>
        <v>901619.28</v>
      </c>
    </row>
    <row r="29" spans="1:7" x14ac:dyDescent="0.3">
      <c r="A29" s="119" t="s">
        <v>275</v>
      </c>
      <c r="B29" s="120">
        <v>1</v>
      </c>
      <c r="C29" s="288">
        <f t="shared" si="0"/>
        <v>23188.43</v>
      </c>
      <c r="D29" s="122">
        <v>12210</v>
      </c>
      <c r="E29" s="124"/>
      <c r="F29" s="288">
        <v>10978.43</v>
      </c>
      <c r="G29" s="288">
        <f t="shared" si="1"/>
        <v>278261.16000000003</v>
      </c>
    </row>
    <row r="30" spans="1:7" x14ac:dyDescent="0.3">
      <c r="A30" s="119" t="s">
        <v>276</v>
      </c>
      <c r="B30" s="120">
        <v>0.5</v>
      </c>
      <c r="C30" s="288">
        <f t="shared" si="0"/>
        <v>11724.21</v>
      </c>
      <c r="D30" s="122">
        <v>10770</v>
      </c>
      <c r="E30" s="288"/>
      <c r="F30" s="288">
        <v>954.21</v>
      </c>
      <c r="G30" s="288">
        <f t="shared" si="1"/>
        <v>70345.259999999995</v>
      </c>
    </row>
    <row r="31" spans="1:7" x14ac:dyDescent="0.3">
      <c r="A31" s="119" t="s">
        <v>277</v>
      </c>
      <c r="B31" s="120">
        <v>1</v>
      </c>
      <c r="C31" s="288">
        <f t="shared" si="0"/>
        <v>45334.559999999998</v>
      </c>
      <c r="D31" s="122">
        <v>15350</v>
      </c>
      <c r="E31" s="288"/>
      <c r="F31" s="288">
        <v>29984.560000000001</v>
      </c>
      <c r="G31" s="288">
        <f t="shared" si="1"/>
        <v>544014.72</v>
      </c>
    </row>
    <row r="32" spans="1:7" x14ac:dyDescent="0.3">
      <c r="A32" s="119" t="s">
        <v>278</v>
      </c>
      <c r="B32" s="120">
        <v>1</v>
      </c>
      <c r="C32" s="288">
        <f t="shared" si="0"/>
        <v>14779.35</v>
      </c>
      <c r="D32" s="122">
        <v>12210</v>
      </c>
      <c r="E32" s="288"/>
      <c r="F32" s="288">
        <v>2569.35</v>
      </c>
      <c r="G32" s="288">
        <f t="shared" si="1"/>
        <v>177352.2</v>
      </c>
    </row>
    <row r="33" spans="1:7" x14ac:dyDescent="0.3">
      <c r="A33" s="119" t="s">
        <v>279</v>
      </c>
      <c r="B33" s="120">
        <v>1</v>
      </c>
      <c r="C33" s="288">
        <f t="shared" si="0"/>
        <v>23883.690000000002</v>
      </c>
      <c r="D33" s="122">
        <v>13360</v>
      </c>
      <c r="E33" s="288"/>
      <c r="F33" s="288">
        <v>10523.69</v>
      </c>
      <c r="G33" s="288">
        <f t="shared" si="1"/>
        <v>286604.28000000003</v>
      </c>
    </row>
    <row r="34" spans="1:7" ht="25.5" customHeight="1" x14ac:dyDescent="0.3">
      <c r="A34" s="119" t="s">
        <v>280</v>
      </c>
      <c r="B34" s="120">
        <v>1</v>
      </c>
      <c r="C34" s="288">
        <f t="shared" si="0"/>
        <v>22828.690000000002</v>
      </c>
      <c r="D34" s="122">
        <v>12500</v>
      </c>
      <c r="E34" s="288"/>
      <c r="F34" s="288">
        <v>10328.69</v>
      </c>
      <c r="G34" s="288">
        <f t="shared" si="1"/>
        <v>273944.28000000003</v>
      </c>
    </row>
    <row r="35" spans="1:7" x14ac:dyDescent="0.3">
      <c r="A35" s="119" t="s">
        <v>281</v>
      </c>
      <c r="B35" s="120">
        <v>1</v>
      </c>
      <c r="C35" s="288">
        <f t="shared" si="0"/>
        <v>23155.85</v>
      </c>
      <c r="D35" s="122">
        <v>12210</v>
      </c>
      <c r="E35" s="288"/>
      <c r="F35" s="288">
        <v>10945.85</v>
      </c>
      <c r="G35" s="288">
        <f t="shared" si="1"/>
        <v>277870.19999999995</v>
      </c>
    </row>
    <row r="36" spans="1:7" ht="15.75" customHeight="1" x14ac:dyDescent="0.3">
      <c r="A36" s="119" t="s">
        <v>282</v>
      </c>
      <c r="B36" s="120">
        <v>1</v>
      </c>
      <c r="C36" s="288">
        <f t="shared" si="0"/>
        <v>22755.85</v>
      </c>
      <c r="D36" s="122">
        <v>12210</v>
      </c>
      <c r="E36" s="288"/>
      <c r="F36" s="288">
        <v>10545.85</v>
      </c>
      <c r="G36" s="288">
        <f t="shared" si="1"/>
        <v>273070.19999999995</v>
      </c>
    </row>
    <row r="37" spans="1:7" ht="39.75" customHeight="1" x14ac:dyDescent="0.3">
      <c r="A37" s="119" t="s">
        <v>283</v>
      </c>
      <c r="B37" s="120">
        <v>1</v>
      </c>
      <c r="C37" s="288">
        <f t="shared" si="0"/>
        <v>23155.85</v>
      </c>
      <c r="D37" s="122">
        <v>12210</v>
      </c>
      <c r="E37" s="124"/>
      <c r="F37" s="288">
        <v>10945.85</v>
      </c>
      <c r="G37" s="288">
        <f t="shared" si="1"/>
        <v>277870.19999999995</v>
      </c>
    </row>
    <row r="38" spans="1:7" x14ac:dyDescent="0.3">
      <c r="A38" s="119" t="s">
        <v>284</v>
      </c>
      <c r="B38" s="120">
        <v>1</v>
      </c>
      <c r="C38" s="288">
        <f t="shared" si="0"/>
        <v>25924.47</v>
      </c>
      <c r="D38" s="122">
        <v>13360</v>
      </c>
      <c r="E38" s="124"/>
      <c r="F38" s="288">
        <v>12564.47</v>
      </c>
      <c r="G38" s="288">
        <f t="shared" si="1"/>
        <v>311093.64</v>
      </c>
    </row>
    <row r="39" spans="1:7" x14ac:dyDescent="0.3">
      <c r="A39" s="119" t="s">
        <v>285</v>
      </c>
      <c r="B39" s="120">
        <v>1</v>
      </c>
      <c r="C39" s="288">
        <f t="shared" si="0"/>
        <v>24322.39</v>
      </c>
      <c r="D39" s="122">
        <v>12760</v>
      </c>
      <c r="E39" s="288"/>
      <c r="F39" s="288">
        <v>11562.39</v>
      </c>
      <c r="G39" s="288">
        <f t="shared" si="1"/>
        <v>291868.68</v>
      </c>
    </row>
    <row r="40" spans="1:7" x14ac:dyDescent="0.3">
      <c r="A40" s="119" t="s">
        <v>286</v>
      </c>
      <c r="B40" s="120">
        <v>1</v>
      </c>
      <c r="C40" s="288">
        <f t="shared" si="0"/>
        <v>44026.25</v>
      </c>
      <c r="D40" s="122">
        <v>15070</v>
      </c>
      <c r="E40" s="124"/>
      <c r="F40" s="288">
        <v>28956.25</v>
      </c>
      <c r="G40" s="288">
        <f t="shared" si="1"/>
        <v>528315</v>
      </c>
    </row>
    <row r="41" spans="1:7" ht="15.75" customHeight="1" x14ac:dyDescent="0.3">
      <c r="A41" s="119" t="s">
        <v>287</v>
      </c>
      <c r="B41" s="120">
        <v>1</v>
      </c>
      <c r="C41" s="288">
        <f t="shared" si="0"/>
        <v>23723.599999999999</v>
      </c>
      <c r="D41" s="122">
        <v>12760</v>
      </c>
      <c r="E41" s="124"/>
      <c r="F41" s="288">
        <v>10963.6</v>
      </c>
      <c r="G41" s="288">
        <f t="shared" si="1"/>
        <v>284683.19999999995</v>
      </c>
    </row>
    <row r="42" spans="1:7" ht="26.4" x14ac:dyDescent="0.3">
      <c r="A42" s="119" t="s">
        <v>288</v>
      </c>
      <c r="B42" s="120">
        <v>1</v>
      </c>
      <c r="C42" s="288">
        <f t="shared" si="0"/>
        <v>23613.690000000002</v>
      </c>
      <c r="D42" s="122">
        <v>12760</v>
      </c>
      <c r="E42" s="124"/>
      <c r="F42" s="288">
        <v>10853.69</v>
      </c>
      <c r="G42" s="288">
        <f t="shared" si="1"/>
        <v>283364.28000000003</v>
      </c>
    </row>
    <row r="43" spans="1:7" x14ac:dyDescent="0.3">
      <c r="A43" s="119" t="s">
        <v>289</v>
      </c>
      <c r="B43" s="120">
        <v>1</v>
      </c>
      <c r="C43" s="288">
        <f t="shared" si="0"/>
        <v>13746.37</v>
      </c>
      <c r="D43" s="122">
        <v>12760</v>
      </c>
      <c r="E43" s="288"/>
      <c r="F43" s="288">
        <v>986.37</v>
      </c>
      <c r="G43" s="288">
        <f t="shared" si="1"/>
        <v>164956.44</v>
      </c>
    </row>
    <row r="44" spans="1:7" ht="16.5" customHeight="1" x14ac:dyDescent="0.3">
      <c r="A44" s="119" t="s">
        <v>290</v>
      </c>
      <c r="B44" s="120">
        <v>1</v>
      </c>
      <c r="C44" s="288">
        <f>SUM(D44:F44)</f>
        <v>22994.89</v>
      </c>
      <c r="D44" s="122">
        <v>12760</v>
      </c>
      <c r="E44" s="288"/>
      <c r="F44" s="288">
        <v>10234.89</v>
      </c>
      <c r="G44" s="288">
        <f t="shared" si="1"/>
        <v>275938.68</v>
      </c>
    </row>
    <row r="45" spans="1:7" x14ac:dyDescent="0.3">
      <c r="A45" s="119" t="s">
        <v>291</v>
      </c>
      <c r="B45" s="120">
        <v>1</v>
      </c>
      <c r="C45" s="288">
        <f t="shared" ref="C45:C88" si="2">SUM(D45:F45)</f>
        <v>13322.35</v>
      </c>
      <c r="D45" s="122">
        <v>12760</v>
      </c>
      <c r="E45" s="288"/>
      <c r="F45" s="288">
        <v>562.35</v>
      </c>
      <c r="G45" s="288">
        <f>C45*B45*12</f>
        <v>159868.20000000001</v>
      </c>
    </row>
    <row r="46" spans="1:7" ht="26.4" x14ac:dyDescent="0.3">
      <c r="A46" s="119" t="s">
        <v>292</v>
      </c>
      <c r="B46" s="120">
        <v>1</v>
      </c>
      <c r="C46" s="288">
        <f>SUM(D46:F46)</f>
        <v>15500</v>
      </c>
      <c r="D46" s="122">
        <v>15500</v>
      </c>
      <c r="E46" s="288"/>
      <c r="F46" s="288"/>
      <c r="G46" s="288">
        <f>C46*B46*12</f>
        <v>186000</v>
      </c>
    </row>
    <row r="47" spans="1:7" x14ac:dyDescent="0.3">
      <c r="A47" s="119" t="s">
        <v>293</v>
      </c>
      <c r="B47" s="120">
        <v>1</v>
      </c>
      <c r="C47" s="288">
        <f>SUM(D47:F47)</f>
        <v>48736.78</v>
      </c>
      <c r="D47" s="125">
        <v>15500</v>
      </c>
      <c r="E47" s="288"/>
      <c r="F47" s="288">
        <v>33236.78</v>
      </c>
      <c r="G47" s="288">
        <f>B47*C47*12</f>
        <v>584841.36</v>
      </c>
    </row>
    <row r="48" spans="1:7" x14ac:dyDescent="0.3">
      <c r="A48" s="119" t="s">
        <v>294</v>
      </c>
      <c r="B48" s="120">
        <v>1</v>
      </c>
      <c r="C48" s="288">
        <f>SUM(D48:F48)</f>
        <v>15500</v>
      </c>
      <c r="D48" s="125">
        <v>15500</v>
      </c>
      <c r="E48" s="288"/>
      <c r="F48" s="288"/>
      <c r="G48" s="288">
        <f>B48*C48*12</f>
        <v>186000</v>
      </c>
    </row>
    <row r="49" spans="1:7" x14ac:dyDescent="0.3">
      <c r="A49" s="119" t="s">
        <v>295</v>
      </c>
      <c r="B49" s="120">
        <v>1</v>
      </c>
      <c r="C49" s="288">
        <f>SUM(D49:F49)</f>
        <v>46736.78</v>
      </c>
      <c r="D49" s="125">
        <v>15500</v>
      </c>
      <c r="E49" s="288"/>
      <c r="F49" s="288">
        <v>31236.78</v>
      </c>
      <c r="G49" s="288">
        <f>C49*B49*12</f>
        <v>560841.36</v>
      </c>
    </row>
    <row r="50" spans="1:7" x14ac:dyDescent="0.3">
      <c r="A50" s="119" t="s">
        <v>296</v>
      </c>
      <c r="B50" s="120">
        <v>1</v>
      </c>
      <c r="C50" s="288">
        <f>SUM(D50:F50)</f>
        <v>47736.78</v>
      </c>
      <c r="D50" s="125">
        <v>15500</v>
      </c>
      <c r="E50" s="288"/>
      <c r="F50" s="288">
        <v>32236.78</v>
      </c>
      <c r="G50" s="288">
        <f>B50*C50*12</f>
        <v>572841.36</v>
      </c>
    </row>
    <row r="51" spans="1:7" ht="26.4" x14ac:dyDescent="0.3">
      <c r="A51" s="119" t="s">
        <v>297</v>
      </c>
      <c r="B51" s="126">
        <v>1</v>
      </c>
      <c r="C51" s="288">
        <f t="shared" si="2"/>
        <v>34956.35</v>
      </c>
      <c r="D51" s="125">
        <v>15200</v>
      </c>
      <c r="E51" s="288"/>
      <c r="F51" s="288">
        <v>19756.349999999999</v>
      </c>
      <c r="G51" s="288">
        <f t="shared" si="1"/>
        <v>419476.19999999995</v>
      </c>
    </row>
    <row r="52" spans="1:7" ht="26.4" x14ac:dyDescent="0.3">
      <c r="A52" s="119" t="s">
        <v>298</v>
      </c>
      <c r="B52" s="126">
        <v>1</v>
      </c>
      <c r="C52" s="288">
        <f>SUM(D52:F52)</f>
        <v>35956.35</v>
      </c>
      <c r="D52" s="125">
        <v>15200</v>
      </c>
      <c r="E52" s="288"/>
      <c r="F52" s="288">
        <v>20756.349999999999</v>
      </c>
      <c r="G52" s="288">
        <f>C52*B52*12</f>
        <v>431476.19999999995</v>
      </c>
    </row>
    <row r="53" spans="1:7" ht="26.4" x14ac:dyDescent="0.3">
      <c r="A53" s="119" t="s">
        <v>299</v>
      </c>
      <c r="B53" s="126">
        <v>1</v>
      </c>
      <c r="C53" s="288">
        <f t="shared" si="2"/>
        <v>45956.35</v>
      </c>
      <c r="D53" s="125">
        <v>15200</v>
      </c>
      <c r="E53" s="288"/>
      <c r="F53" s="288">
        <v>30756.35</v>
      </c>
      <c r="G53" s="288">
        <f t="shared" si="1"/>
        <v>551476.19999999995</v>
      </c>
    </row>
    <row r="54" spans="1:7" ht="26.4" x14ac:dyDescent="0.3">
      <c r="A54" s="119" t="s">
        <v>300</v>
      </c>
      <c r="B54" s="126">
        <v>4</v>
      </c>
      <c r="C54" s="288">
        <f t="shared" si="2"/>
        <v>24616.32</v>
      </c>
      <c r="D54" s="125">
        <v>13360</v>
      </c>
      <c r="E54" s="288"/>
      <c r="F54" s="288">
        <v>11256.32</v>
      </c>
      <c r="G54" s="288">
        <f t="shared" si="1"/>
        <v>1181583.3599999999</v>
      </c>
    </row>
    <row r="55" spans="1:7" ht="26.25" customHeight="1" x14ac:dyDescent="0.3">
      <c r="A55" s="127" t="s">
        <v>301</v>
      </c>
      <c r="B55" s="126">
        <v>1</v>
      </c>
      <c r="C55" s="288">
        <f t="shared" si="2"/>
        <v>25887.510000000002</v>
      </c>
      <c r="D55" s="125">
        <v>13970</v>
      </c>
      <c r="E55" s="288"/>
      <c r="F55" s="288">
        <v>11917.51</v>
      </c>
      <c r="G55" s="288">
        <f t="shared" si="1"/>
        <v>310650.12</v>
      </c>
    </row>
    <row r="56" spans="1:7" ht="25.5" customHeight="1" x14ac:dyDescent="0.3">
      <c r="A56" s="119" t="s">
        <v>302</v>
      </c>
      <c r="B56" s="126">
        <v>1</v>
      </c>
      <c r="C56" s="288">
        <f t="shared" si="2"/>
        <v>28648.2</v>
      </c>
      <c r="D56" s="125">
        <v>12760</v>
      </c>
      <c r="E56" s="288"/>
      <c r="F56" s="288">
        <v>15888.2</v>
      </c>
      <c r="G56" s="288">
        <f t="shared" si="1"/>
        <v>343778.4</v>
      </c>
    </row>
    <row r="57" spans="1:7" x14ac:dyDescent="0.3">
      <c r="A57" s="128" t="s">
        <v>303</v>
      </c>
      <c r="B57" s="129">
        <v>2.5</v>
      </c>
      <c r="C57" s="288">
        <f>SUM(D57:F57)</f>
        <v>22519.53</v>
      </c>
      <c r="D57" s="125">
        <v>12470</v>
      </c>
      <c r="E57" s="129"/>
      <c r="F57" s="288">
        <v>10049.530000000001</v>
      </c>
      <c r="G57" s="288">
        <f t="shared" si="1"/>
        <v>675585.89999999991</v>
      </c>
    </row>
    <row r="58" spans="1:7" x14ac:dyDescent="0.3">
      <c r="A58" s="128" t="s">
        <v>304</v>
      </c>
      <c r="B58" s="129">
        <v>0.5</v>
      </c>
      <c r="C58" s="288">
        <f>SUM(D58:F58)</f>
        <v>22519.52</v>
      </c>
      <c r="D58" s="125">
        <v>12470</v>
      </c>
      <c r="E58" s="129"/>
      <c r="F58" s="288">
        <v>10049.52</v>
      </c>
      <c r="G58" s="288">
        <f t="shared" si="1"/>
        <v>135117.12</v>
      </c>
    </row>
    <row r="59" spans="1:7" x14ac:dyDescent="0.3">
      <c r="A59" s="128" t="s">
        <v>305</v>
      </c>
      <c r="B59" s="129">
        <v>0.5</v>
      </c>
      <c r="C59" s="288">
        <f>SUM(D60:F60)</f>
        <v>22519.52</v>
      </c>
      <c r="D59" s="125">
        <v>12470</v>
      </c>
      <c r="E59" s="129"/>
      <c r="F59" s="288">
        <v>10049.52</v>
      </c>
      <c r="G59" s="288">
        <f t="shared" si="1"/>
        <v>135117.12</v>
      </c>
    </row>
    <row r="60" spans="1:7" x14ac:dyDescent="0.3">
      <c r="A60" s="130" t="s">
        <v>306</v>
      </c>
      <c r="B60" s="126">
        <v>0.5</v>
      </c>
      <c r="C60" s="288">
        <f t="shared" si="2"/>
        <v>22519.52</v>
      </c>
      <c r="D60" s="125">
        <v>12470</v>
      </c>
      <c r="E60" s="288"/>
      <c r="F60" s="288">
        <v>10049.52</v>
      </c>
      <c r="G60" s="288">
        <f t="shared" si="1"/>
        <v>135117.12</v>
      </c>
    </row>
    <row r="61" spans="1:7" x14ac:dyDescent="0.3">
      <c r="A61" s="130" t="s">
        <v>307</v>
      </c>
      <c r="B61" s="126">
        <v>1</v>
      </c>
      <c r="C61" s="288">
        <f>SUM(D61:F61)</f>
        <v>24049.78</v>
      </c>
      <c r="D61" s="125">
        <v>13360</v>
      </c>
      <c r="E61" s="288"/>
      <c r="F61" s="288">
        <v>10689.78</v>
      </c>
      <c r="G61" s="288">
        <f t="shared" si="1"/>
        <v>288597.36</v>
      </c>
    </row>
    <row r="62" spans="1:7" x14ac:dyDescent="0.3">
      <c r="A62" s="130" t="s">
        <v>308</v>
      </c>
      <c r="B62" s="126">
        <v>1</v>
      </c>
      <c r="C62" s="288">
        <f>SUM(D62:F62)</f>
        <v>24049.78</v>
      </c>
      <c r="D62" s="125">
        <v>13360</v>
      </c>
      <c r="E62" s="288"/>
      <c r="F62" s="288">
        <v>10689.78</v>
      </c>
      <c r="G62" s="288">
        <f t="shared" si="1"/>
        <v>288597.36</v>
      </c>
    </row>
    <row r="63" spans="1:7" x14ac:dyDescent="0.3">
      <c r="A63" s="130" t="s">
        <v>382</v>
      </c>
      <c r="B63" s="126">
        <v>1</v>
      </c>
      <c r="C63" s="288">
        <f>SUM(D63:F63)</f>
        <v>24049.78</v>
      </c>
      <c r="D63" s="125">
        <v>13360</v>
      </c>
      <c r="E63" s="288"/>
      <c r="F63" s="288">
        <v>10689.78</v>
      </c>
      <c r="G63" s="288">
        <f t="shared" si="1"/>
        <v>288597.36</v>
      </c>
    </row>
    <row r="64" spans="1:7" x14ac:dyDescent="0.3">
      <c r="A64" s="119" t="s">
        <v>448</v>
      </c>
      <c r="B64" s="126">
        <v>1</v>
      </c>
      <c r="C64" s="288">
        <f t="shared" si="2"/>
        <v>24049.78</v>
      </c>
      <c r="D64" s="125">
        <v>13360</v>
      </c>
      <c r="E64" s="288"/>
      <c r="F64" s="288">
        <v>10689.78</v>
      </c>
      <c r="G64" s="288">
        <f t="shared" si="1"/>
        <v>288597.36</v>
      </c>
    </row>
    <row r="65" spans="1:7" ht="39.6" x14ac:dyDescent="0.3">
      <c r="A65" s="131" t="s">
        <v>309</v>
      </c>
      <c r="B65" s="126">
        <v>12</v>
      </c>
      <c r="C65" s="288">
        <f t="shared" si="2"/>
        <v>38598.449999999997</v>
      </c>
      <c r="D65" s="125">
        <v>14500</v>
      </c>
      <c r="E65" s="288"/>
      <c r="F65" s="288">
        <v>24098.45</v>
      </c>
      <c r="G65" s="288">
        <f t="shared" si="1"/>
        <v>5558176.7999999998</v>
      </c>
    </row>
    <row r="66" spans="1:7" ht="39.6" x14ac:dyDescent="0.3">
      <c r="A66" s="131" t="s">
        <v>310</v>
      </c>
      <c r="B66" s="126">
        <v>13</v>
      </c>
      <c r="C66" s="288">
        <f t="shared" si="2"/>
        <v>37054.69</v>
      </c>
      <c r="D66" s="125">
        <v>14000</v>
      </c>
      <c r="E66" s="288"/>
      <c r="F66" s="288">
        <v>23054.69</v>
      </c>
      <c r="G66" s="288">
        <f t="shared" si="1"/>
        <v>5780531.6400000006</v>
      </c>
    </row>
    <row r="67" spans="1:7" ht="27" customHeight="1" x14ac:dyDescent="0.3">
      <c r="A67" s="131" t="s">
        <v>311</v>
      </c>
      <c r="B67" s="126">
        <v>4</v>
      </c>
      <c r="C67" s="288">
        <f t="shared" si="2"/>
        <v>34922.47</v>
      </c>
      <c r="D67" s="125">
        <v>13360</v>
      </c>
      <c r="E67" s="288"/>
      <c r="F67" s="288">
        <v>21562.47</v>
      </c>
      <c r="G67" s="288">
        <f t="shared" si="1"/>
        <v>1676278.56</v>
      </c>
    </row>
    <row r="68" spans="1:7" ht="26.4" x14ac:dyDescent="0.3">
      <c r="A68" s="131" t="s">
        <v>312</v>
      </c>
      <c r="B68" s="126">
        <v>9</v>
      </c>
      <c r="C68" s="288">
        <f t="shared" si="2"/>
        <v>33207.589999999997</v>
      </c>
      <c r="D68" s="125">
        <v>13360</v>
      </c>
      <c r="E68" s="288"/>
      <c r="F68" s="288">
        <v>19847.59</v>
      </c>
      <c r="G68" s="288">
        <f t="shared" si="1"/>
        <v>3586419.7199999993</v>
      </c>
    </row>
    <row r="69" spans="1:7" x14ac:dyDescent="0.3">
      <c r="A69" s="132" t="s">
        <v>313</v>
      </c>
      <c r="B69" s="126">
        <v>12</v>
      </c>
      <c r="C69" s="288">
        <f t="shared" si="2"/>
        <v>31845.439999999999</v>
      </c>
      <c r="D69" s="125">
        <v>12400</v>
      </c>
      <c r="E69" s="288"/>
      <c r="F69" s="288">
        <v>19445.439999999999</v>
      </c>
      <c r="G69" s="288">
        <f t="shared" si="1"/>
        <v>4585743.3599999994</v>
      </c>
    </row>
    <row r="70" spans="1:7" ht="26.4" x14ac:dyDescent="0.3">
      <c r="A70" s="131" t="s">
        <v>314</v>
      </c>
      <c r="B70" s="126">
        <v>4</v>
      </c>
      <c r="C70" s="288">
        <f t="shared" si="2"/>
        <v>33468.65</v>
      </c>
      <c r="D70" s="125">
        <v>13360</v>
      </c>
      <c r="E70" s="288"/>
      <c r="F70" s="288">
        <v>20108.650000000001</v>
      </c>
      <c r="G70" s="288">
        <f t="shared" si="1"/>
        <v>1606495.2000000002</v>
      </c>
    </row>
    <row r="71" spans="1:7" ht="27" customHeight="1" x14ac:dyDescent="0.3">
      <c r="A71" s="131" t="s">
        <v>315</v>
      </c>
      <c r="B71" s="126">
        <v>7</v>
      </c>
      <c r="C71" s="288">
        <f t="shared" si="2"/>
        <v>31857.45</v>
      </c>
      <c r="D71" s="125">
        <v>12500</v>
      </c>
      <c r="E71" s="288"/>
      <c r="F71" s="288">
        <v>19357.45</v>
      </c>
      <c r="G71" s="288">
        <f t="shared" si="1"/>
        <v>2676025.7999999998</v>
      </c>
    </row>
    <row r="72" spans="1:7" ht="20.399999999999999" customHeight="1" x14ac:dyDescent="0.3">
      <c r="A72" s="133" t="s">
        <v>316</v>
      </c>
      <c r="B72" s="134">
        <v>8</v>
      </c>
      <c r="C72" s="135">
        <f t="shared" si="2"/>
        <v>30569.98</v>
      </c>
      <c r="D72" s="136">
        <v>12000</v>
      </c>
      <c r="E72" s="135"/>
      <c r="F72" s="135">
        <v>18569.98</v>
      </c>
      <c r="G72" s="135">
        <f t="shared" si="1"/>
        <v>2934718.08</v>
      </c>
    </row>
    <row r="73" spans="1:7" ht="28.2" customHeight="1" x14ac:dyDescent="0.3">
      <c r="A73" s="131" t="s">
        <v>317</v>
      </c>
      <c r="B73" s="126">
        <v>16</v>
      </c>
      <c r="C73" s="288">
        <f t="shared" si="2"/>
        <v>31701.56</v>
      </c>
      <c r="D73" s="125">
        <v>13360</v>
      </c>
      <c r="E73" s="288"/>
      <c r="F73" s="288">
        <v>18341.560000000001</v>
      </c>
      <c r="G73" s="288">
        <f t="shared" si="1"/>
        <v>6086699.5200000005</v>
      </c>
    </row>
    <row r="74" spans="1:7" ht="26.4" x14ac:dyDescent="0.3">
      <c r="A74" s="131" t="s">
        <v>318</v>
      </c>
      <c r="B74" s="126">
        <v>6</v>
      </c>
      <c r="C74" s="288">
        <f t="shared" si="2"/>
        <v>28889.190000000002</v>
      </c>
      <c r="D74" s="125">
        <v>12700</v>
      </c>
      <c r="E74" s="288"/>
      <c r="F74" s="288">
        <v>16189.19</v>
      </c>
      <c r="G74" s="288">
        <f t="shared" si="1"/>
        <v>2080021.6800000002</v>
      </c>
    </row>
    <row r="75" spans="1:7" ht="22.95" customHeight="1" x14ac:dyDescent="0.3">
      <c r="A75" s="131" t="s">
        <v>319</v>
      </c>
      <c r="B75" s="126">
        <v>7</v>
      </c>
      <c r="C75" s="288">
        <f t="shared" si="2"/>
        <v>25425.75</v>
      </c>
      <c r="D75" s="125">
        <v>12000</v>
      </c>
      <c r="E75" s="288"/>
      <c r="F75" s="288">
        <v>13425.75</v>
      </c>
      <c r="G75" s="288">
        <f t="shared" si="1"/>
        <v>2135763</v>
      </c>
    </row>
    <row r="76" spans="1:7" ht="24" x14ac:dyDescent="0.3">
      <c r="A76" s="137" t="s">
        <v>320</v>
      </c>
      <c r="B76" s="138">
        <v>1</v>
      </c>
      <c r="C76" s="139">
        <f t="shared" si="2"/>
        <v>27959.54</v>
      </c>
      <c r="D76" s="140">
        <v>14500</v>
      </c>
      <c r="E76" s="139"/>
      <c r="F76" s="139">
        <v>13459.54</v>
      </c>
      <c r="G76" s="139">
        <f t="shared" si="1"/>
        <v>335514.48</v>
      </c>
    </row>
    <row r="77" spans="1:7" x14ac:dyDescent="0.3">
      <c r="A77" s="141" t="s">
        <v>321</v>
      </c>
      <c r="B77" s="138">
        <v>1</v>
      </c>
      <c r="C77" s="139">
        <f t="shared" si="2"/>
        <v>24312.36</v>
      </c>
      <c r="D77" s="140">
        <v>12470</v>
      </c>
      <c r="E77" s="139"/>
      <c r="F77" s="139">
        <v>11842.36</v>
      </c>
      <c r="G77" s="139">
        <f t="shared" si="1"/>
        <v>291748.32</v>
      </c>
    </row>
    <row r="78" spans="1:7" x14ac:dyDescent="0.3">
      <c r="A78" s="141" t="s">
        <v>322</v>
      </c>
      <c r="B78" s="138">
        <v>1</v>
      </c>
      <c r="C78" s="139">
        <f t="shared" si="2"/>
        <v>20432</v>
      </c>
      <c r="D78" s="140">
        <v>10310</v>
      </c>
      <c r="E78" s="139"/>
      <c r="F78" s="139">
        <v>10122</v>
      </c>
      <c r="G78" s="139">
        <f t="shared" si="1"/>
        <v>245184</v>
      </c>
    </row>
    <row r="79" spans="1:7" x14ac:dyDescent="0.3">
      <c r="A79" s="141" t="s">
        <v>323</v>
      </c>
      <c r="B79" s="138">
        <v>2</v>
      </c>
      <c r="C79" s="139">
        <f t="shared" si="2"/>
        <v>19372</v>
      </c>
      <c r="D79" s="140">
        <v>9250</v>
      </c>
      <c r="E79" s="139"/>
      <c r="F79" s="139">
        <v>10122</v>
      </c>
      <c r="G79" s="139">
        <f t="shared" si="1"/>
        <v>464928</v>
      </c>
    </row>
    <row r="80" spans="1:7" ht="24" x14ac:dyDescent="0.3">
      <c r="A80" s="137" t="s">
        <v>324</v>
      </c>
      <c r="B80" s="138">
        <v>1</v>
      </c>
      <c r="C80" s="139">
        <f t="shared" si="2"/>
        <v>23671.52</v>
      </c>
      <c r="D80" s="140">
        <v>13360</v>
      </c>
      <c r="E80" s="139"/>
      <c r="F80" s="139">
        <v>10311.52</v>
      </c>
      <c r="G80" s="139">
        <f t="shared" si="1"/>
        <v>284058.23999999999</v>
      </c>
    </row>
    <row r="81" spans="1:7" x14ac:dyDescent="0.3">
      <c r="A81" s="141" t="s">
        <v>325</v>
      </c>
      <c r="B81" s="138">
        <v>2</v>
      </c>
      <c r="C81" s="139">
        <f t="shared" si="2"/>
        <v>22788.15</v>
      </c>
      <c r="D81" s="140">
        <v>12210</v>
      </c>
      <c r="E81" s="139"/>
      <c r="F81" s="139">
        <v>10578.15</v>
      </c>
      <c r="G81" s="139">
        <f t="shared" si="1"/>
        <v>546915.60000000009</v>
      </c>
    </row>
    <row r="82" spans="1:7" ht="26.4" x14ac:dyDescent="0.3">
      <c r="A82" s="142" t="s">
        <v>326</v>
      </c>
      <c r="B82" s="138">
        <v>1</v>
      </c>
      <c r="C82" s="139">
        <f t="shared" si="2"/>
        <v>22139.78</v>
      </c>
      <c r="D82" s="140">
        <v>11500</v>
      </c>
      <c r="E82" s="139"/>
      <c r="F82" s="139">
        <v>10639.78</v>
      </c>
      <c r="G82" s="139">
        <f t="shared" si="1"/>
        <v>265677.36</v>
      </c>
    </row>
    <row r="83" spans="1:7" x14ac:dyDescent="0.3">
      <c r="A83" s="141" t="s">
        <v>327</v>
      </c>
      <c r="B83" s="138">
        <v>1</v>
      </c>
      <c r="C83" s="139">
        <f t="shared" si="2"/>
        <v>24205.940000000002</v>
      </c>
      <c r="D83" s="140">
        <v>13360</v>
      </c>
      <c r="E83" s="139"/>
      <c r="F83" s="139">
        <v>10845.94</v>
      </c>
      <c r="G83" s="139">
        <f t="shared" si="1"/>
        <v>290471.28000000003</v>
      </c>
    </row>
    <row r="84" spans="1:7" x14ac:dyDescent="0.3">
      <c r="A84" s="141" t="s">
        <v>328</v>
      </c>
      <c r="B84" s="138">
        <v>4</v>
      </c>
      <c r="C84" s="139">
        <f t="shared" si="2"/>
        <v>20567.45</v>
      </c>
      <c r="D84" s="140">
        <v>10000</v>
      </c>
      <c r="E84" s="139"/>
      <c r="F84" s="139">
        <v>10567.45</v>
      </c>
      <c r="G84" s="139">
        <f t="shared" si="1"/>
        <v>987237.60000000009</v>
      </c>
    </row>
    <row r="85" spans="1:7" ht="26.4" x14ac:dyDescent="0.3">
      <c r="A85" s="142" t="s">
        <v>329</v>
      </c>
      <c r="B85" s="138">
        <v>1</v>
      </c>
      <c r="C85" s="139">
        <f t="shared" si="2"/>
        <v>23965.47</v>
      </c>
      <c r="D85" s="140">
        <v>13360</v>
      </c>
      <c r="E85" s="139"/>
      <c r="F85" s="139">
        <v>10605.47</v>
      </c>
      <c r="G85" s="139">
        <f t="shared" si="1"/>
        <v>287585.64</v>
      </c>
    </row>
    <row r="86" spans="1:7" ht="26.25" customHeight="1" x14ac:dyDescent="0.3">
      <c r="A86" s="141" t="s">
        <v>330</v>
      </c>
      <c r="B86" s="138">
        <v>2.5</v>
      </c>
      <c r="C86" s="139">
        <f t="shared" si="2"/>
        <v>21967.59</v>
      </c>
      <c r="D86" s="140">
        <v>12000</v>
      </c>
      <c r="E86" s="139"/>
      <c r="F86" s="139">
        <v>9967.59</v>
      </c>
      <c r="G86" s="139">
        <f t="shared" si="1"/>
        <v>659027.69999999995</v>
      </c>
    </row>
    <row r="87" spans="1:7" ht="26.4" x14ac:dyDescent="0.3">
      <c r="A87" s="142" t="s">
        <v>331</v>
      </c>
      <c r="B87" s="138">
        <v>1</v>
      </c>
      <c r="C87" s="139">
        <f t="shared" si="2"/>
        <v>22846.120000000003</v>
      </c>
      <c r="D87" s="140">
        <v>13360</v>
      </c>
      <c r="E87" s="139"/>
      <c r="F87" s="139">
        <v>9486.1200000000008</v>
      </c>
      <c r="G87" s="139">
        <f t="shared" ref="G87:G113" si="3">C87*B87*12</f>
        <v>274153.44000000006</v>
      </c>
    </row>
    <row r="88" spans="1:7" x14ac:dyDescent="0.3">
      <c r="A88" s="141" t="s">
        <v>332</v>
      </c>
      <c r="B88" s="138">
        <v>1</v>
      </c>
      <c r="C88" s="139">
        <f t="shared" si="2"/>
        <v>20120.36</v>
      </c>
      <c r="D88" s="140">
        <v>13360</v>
      </c>
      <c r="E88" s="139"/>
      <c r="F88" s="139">
        <v>6760.36</v>
      </c>
      <c r="G88" s="139">
        <f t="shared" si="3"/>
        <v>241444.32</v>
      </c>
    </row>
    <row r="89" spans="1:7" x14ac:dyDescent="0.3">
      <c r="A89" s="141" t="s">
        <v>333</v>
      </c>
      <c r="B89" s="138">
        <v>2</v>
      </c>
      <c r="C89" s="139">
        <f t="shared" ref="C89:C116" si="4">SUM(D89:F89)</f>
        <v>21922.61</v>
      </c>
      <c r="D89" s="140">
        <v>12470</v>
      </c>
      <c r="E89" s="139"/>
      <c r="F89" s="139">
        <v>9452.61</v>
      </c>
      <c r="G89" s="139">
        <f t="shared" si="3"/>
        <v>526142.64</v>
      </c>
    </row>
    <row r="90" spans="1:7" ht="15.75" customHeight="1" x14ac:dyDescent="0.3">
      <c r="A90" s="141" t="s">
        <v>334</v>
      </c>
      <c r="B90" s="138">
        <v>2</v>
      </c>
      <c r="C90" s="139">
        <f t="shared" si="4"/>
        <v>20184.150000000001</v>
      </c>
      <c r="D90" s="140">
        <v>10310</v>
      </c>
      <c r="E90" s="139"/>
      <c r="F90" s="139">
        <v>9874.15</v>
      </c>
      <c r="G90" s="139">
        <f t="shared" si="3"/>
        <v>484419.60000000003</v>
      </c>
    </row>
    <row r="91" spans="1:7" x14ac:dyDescent="0.3">
      <c r="A91" s="141" t="s">
        <v>335</v>
      </c>
      <c r="B91" s="138">
        <v>1</v>
      </c>
      <c r="C91" s="139">
        <f t="shared" si="4"/>
        <v>19845.97</v>
      </c>
      <c r="D91" s="140">
        <v>10000</v>
      </c>
      <c r="E91" s="139"/>
      <c r="F91" s="139">
        <v>9845.9699999999993</v>
      </c>
      <c r="G91" s="139">
        <f t="shared" si="3"/>
        <v>238151.64</v>
      </c>
    </row>
    <row r="92" spans="1:7" x14ac:dyDescent="0.3">
      <c r="A92" s="141" t="s">
        <v>449</v>
      </c>
      <c r="B92" s="138">
        <v>1</v>
      </c>
      <c r="C92" s="139">
        <f>SUM(D92:F92)</f>
        <v>13996.36</v>
      </c>
      <c r="D92" s="140">
        <v>12470</v>
      </c>
      <c r="E92" s="139"/>
      <c r="F92" s="139">
        <v>1526.36</v>
      </c>
      <c r="G92" s="139">
        <f>C92*B92*12</f>
        <v>167956.32</v>
      </c>
    </row>
    <row r="93" spans="1:7" ht="39.6" x14ac:dyDescent="0.3">
      <c r="A93" s="142" t="s">
        <v>336</v>
      </c>
      <c r="B93" s="138">
        <v>1</v>
      </c>
      <c r="C93" s="139">
        <f t="shared" si="4"/>
        <v>22483.95</v>
      </c>
      <c r="D93" s="140">
        <v>13360</v>
      </c>
      <c r="E93" s="139"/>
      <c r="F93" s="139">
        <v>9123.9500000000007</v>
      </c>
      <c r="G93" s="139">
        <f t="shared" si="3"/>
        <v>269807.40000000002</v>
      </c>
    </row>
    <row r="94" spans="1:7" x14ac:dyDescent="0.3">
      <c r="A94" s="141" t="s">
        <v>337</v>
      </c>
      <c r="B94" s="138">
        <v>2</v>
      </c>
      <c r="C94" s="139">
        <f t="shared" si="4"/>
        <v>21349.48</v>
      </c>
      <c r="D94" s="140">
        <v>12000</v>
      </c>
      <c r="E94" s="139"/>
      <c r="F94" s="139">
        <v>9349.48</v>
      </c>
      <c r="G94" s="139">
        <f t="shared" si="3"/>
        <v>512387.52</v>
      </c>
    </row>
    <row r="95" spans="1:7" x14ac:dyDescent="0.3">
      <c r="A95" s="142" t="s">
        <v>338</v>
      </c>
      <c r="B95" s="138">
        <v>4</v>
      </c>
      <c r="C95" s="139">
        <f t="shared" si="4"/>
        <v>22156.82</v>
      </c>
      <c r="D95" s="140">
        <v>12500</v>
      </c>
      <c r="E95" s="139"/>
      <c r="F95" s="139">
        <v>9656.82</v>
      </c>
      <c r="G95" s="139">
        <f t="shared" si="3"/>
        <v>1063527.3599999999</v>
      </c>
    </row>
    <row r="96" spans="1:7" x14ac:dyDescent="0.3">
      <c r="A96" s="123" t="s">
        <v>339</v>
      </c>
      <c r="B96" s="120">
        <v>1</v>
      </c>
      <c r="C96" s="288">
        <f t="shared" si="4"/>
        <v>22727.239999999998</v>
      </c>
      <c r="D96" s="125">
        <v>13360</v>
      </c>
      <c r="E96" s="288"/>
      <c r="F96" s="288">
        <v>9367.24</v>
      </c>
      <c r="G96" s="288">
        <f t="shared" si="3"/>
        <v>272726.88</v>
      </c>
    </row>
    <row r="97" spans="1:7" x14ac:dyDescent="0.3">
      <c r="A97" s="141" t="s">
        <v>340</v>
      </c>
      <c r="B97" s="138">
        <v>0.5</v>
      </c>
      <c r="C97" s="139">
        <f t="shared" si="4"/>
        <v>15846.279999999999</v>
      </c>
      <c r="D97" s="140">
        <v>10310</v>
      </c>
      <c r="E97" s="139"/>
      <c r="F97" s="139">
        <v>5536.28</v>
      </c>
      <c r="G97" s="139">
        <f t="shared" si="3"/>
        <v>95077.68</v>
      </c>
    </row>
    <row r="98" spans="1:7" ht="39.6" x14ac:dyDescent="0.3">
      <c r="A98" s="142" t="s">
        <v>341</v>
      </c>
      <c r="B98" s="138">
        <v>1</v>
      </c>
      <c r="C98" s="139">
        <f t="shared" si="4"/>
        <v>24363.97</v>
      </c>
      <c r="D98" s="143">
        <v>14500</v>
      </c>
      <c r="E98" s="139"/>
      <c r="F98" s="139">
        <v>9863.9699999999993</v>
      </c>
      <c r="G98" s="139">
        <f t="shared" si="3"/>
        <v>292367.64</v>
      </c>
    </row>
    <row r="99" spans="1:7" x14ac:dyDescent="0.3">
      <c r="A99" s="141" t="s">
        <v>342</v>
      </c>
      <c r="B99" s="138">
        <v>4</v>
      </c>
      <c r="C99" s="139">
        <f t="shared" si="4"/>
        <v>21896.25</v>
      </c>
      <c r="D99" s="143">
        <v>12000</v>
      </c>
      <c r="E99" s="139"/>
      <c r="F99" s="139">
        <v>9896.25</v>
      </c>
      <c r="G99" s="139">
        <f t="shared" si="3"/>
        <v>1051020</v>
      </c>
    </row>
    <row r="100" spans="1:7" ht="28.5" customHeight="1" x14ac:dyDescent="0.3">
      <c r="A100" s="141" t="s">
        <v>343</v>
      </c>
      <c r="B100" s="138">
        <v>2</v>
      </c>
      <c r="C100" s="139">
        <f t="shared" si="4"/>
        <v>20745.190000000002</v>
      </c>
      <c r="D100" s="143">
        <v>11000</v>
      </c>
      <c r="E100" s="139"/>
      <c r="F100" s="139">
        <v>9745.19</v>
      </c>
      <c r="G100" s="139">
        <f t="shared" si="3"/>
        <v>497884.56000000006</v>
      </c>
    </row>
    <row r="101" spans="1:7" x14ac:dyDescent="0.3">
      <c r="A101" s="141" t="s">
        <v>344</v>
      </c>
      <c r="B101" s="138">
        <v>1.5</v>
      </c>
      <c r="C101" s="139">
        <f t="shared" si="4"/>
        <v>19878.739999999998</v>
      </c>
      <c r="D101" s="143">
        <v>10310</v>
      </c>
      <c r="E101" s="139"/>
      <c r="F101" s="139">
        <v>9568.74</v>
      </c>
      <c r="G101" s="139">
        <f t="shared" si="3"/>
        <v>357817.31999999995</v>
      </c>
    </row>
    <row r="102" spans="1:7" ht="26.4" x14ac:dyDescent="0.3">
      <c r="A102" s="142" t="s">
        <v>345</v>
      </c>
      <c r="B102" s="138">
        <v>1</v>
      </c>
      <c r="C102" s="139">
        <f t="shared" si="4"/>
        <v>21315.47</v>
      </c>
      <c r="D102" s="143">
        <v>11720</v>
      </c>
      <c r="E102" s="139"/>
      <c r="F102" s="139">
        <v>9595.4699999999993</v>
      </c>
      <c r="G102" s="139">
        <f t="shared" si="3"/>
        <v>255785.64</v>
      </c>
    </row>
    <row r="103" spans="1:7" x14ac:dyDescent="0.3">
      <c r="A103" s="141" t="s">
        <v>346</v>
      </c>
      <c r="B103" s="138">
        <v>1</v>
      </c>
      <c r="C103" s="139">
        <f t="shared" si="4"/>
        <v>19863.98</v>
      </c>
      <c r="D103" s="143">
        <v>10310</v>
      </c>
      <c r="E103" s="139"/>
      <c r="F103" s="139">
        <v>9553.98</v>
      </c>
      <c r="G103" s="139">
        <f t="shared" si="3"/>
        <v>238367.76</v>
      </c>
    </row>
    <row r="104" spans="1:7" ht="16.5" customHeight="1" x14ac:dyDescent="0.3">
      <c r="A104" s="141" t="s">
        <v>347</v>
      </c>
      <c r="B104" s="138">
        <v>1</v>
      </c>
      <c r="C104" s="139">
        <f t="shared" si="4"/>
        <v>19812</v>
      </c>
      <c r="D104" s="143">
        <v>10310</v>
      </c>
      <c r="E104" s="139"/>
      <c r="F104" s="139">
        <v>9502</v>
      </c>
      <c r="G104" s="139">
        <f t="shared" si="3"/>
        <v>237744</v>
      </c>
    </row>
    <row r="105" spans="1:7" ht="26.4" x14ac:dyDescent="0.3">
      <c r="A105" s="142" t="s">
        <v>348</v>
      </c>
      <c r="B105" s="138">
        <v>1</v>
      </c>
      <c r="C105" s="139">
        <f t="shared" si="4"/>
        <v>19859.059999999998</v>
      </c>
      <c r="D105" s="143">
        <v>10310</v>
      </c>
      <c r="E105" s="139"/>
      <c r="F105" s="139">
        <v>9549.06</v>
      </c>
      <c r="G105" s="139">
        <f t="shared" si="3"/>
        <v>238308.71999999997</v>
      </c>
    </row>
    <row r="106" spans="1:7" x14ac:dyDescent="0.3">
      <c r="A106" s="141" t="s">
        <v>349</v>
      </c>
      <c r="B106" s="138">
        <v>4</v>
      </c>
      <c r="C106" s="139">
        <f t="shared" si="4"/>
        <v>20236.43</v>
      </c>
      <c r="D106" s="143">
        <v>10310</v>
      </c>
      <c r="E106" s="139"/>
      <c r="F106" s="139">
        <v>9926.43</v>
      </c>
      <c r="G106" s="139">
        <f t="shared" si="3"/>
        <v>971348.64</v>
      </c>
    </row>
    <row r="107" spans="1:7" x14ac:dyDescent="0.3">
      <c r="A107" s="141" t="s">
        <v>350</v>
      </c>
      <c r="B107" s="138">
        <v>3</v>
      </c>
      <c r="C107" s="139">
        <f t="shared" si="4"/>
        <v>19209.8</v>
      </c>
      <c r="D107" s="143">
        <v>9250</v>
      </c>
      <c r="E107" s="139"/>
      <c r="F107" s="139">
        <v>9959.7999999999993</v>
      </c>
      <c r="G107" s="139">
        <f t="shared" si="3"/>
        <v>691552.79999999993</v>
      </c>
    </row>
    <row r="108" spans="1:7" ht="26.4" x14ac:dyDescent="0.3">
      <c r="A108" s="142" t="s">
        <v>386</v>
      </c>
      <c r="B108" s="138">
        <v>10.5</v>
      </c>
      <c r="C108" s="139">
        <f t="shared" si="4"/>
        <v>18933.580000000002</v>
      </c>
      <c r="D108" s="143">
        <v>10310</v>
      </c>
      <c r="E108" s="139"/>
      <c r="F108" s="139">
        <v>8623.58</v>
      </c>
      <c r="G108" s="139">
        <f t="shared" si="3"/>
        <v>2385631.08</v>
      </c>
    </row>
    <row r="109" spans="1:7" ht="27.75" customHeight="1" x14ac:dyDescent="0.3">
      <c r="A109" s="141" t="s">
        <v>351</v>
      </c>
      <c r="B109" s="138">
        <v>1.5</v>
      </c>
      <c r="C109" s="139">
        <f t="shared" si="4"/>
        <v>18566</v>
      </c>
      <c r="D109" s="143">
        <v>10310</v>
      </c>
      <c r="E109" s="139"/>
      <c r="F109" s="139">
        <v>8256</v>
      </c>
      <c r="G109" s="139">
        <f>C109*B109*12</f>
        <v>334188</v>
      </c>
    </row>
    <row r="110" spans="1:7" ht="26.4" x14ac:dyDescent="0.3">
      <c r="A110" s="144" t="s">
        <v>352</v>
      </c>
      <c r="B110" s="145">
        <v>1</v>
      </c>
      <c r="C110" s="139">
        <f t="shared" si="4"/>
        <v>18272.73</v>
      </c>
      <c r="D110" s="146">
        <v>9250</v>
      </c>
      <c r="E110" s="139"/>
      <c r="F110" s="139">
        <v>9022.73</v>
      </c>
      <c r="G110" s="139">
        <f>C110*B110*12</f>
        <v>219272.76</v>
      </c>
    </row>
    <row r="111" spans="1:7" x14ac:dyDescent="0.3">
      <c r="A111" s="141" t="s">
        <v>353</v>
      </c>
      <c r="B111" s="138">
        <v>1</v>
      </c>
      <c r="C111" s="139">
        <f t="shared" si="4"/>
        <v>12470</v>
      </c>
      <c r="D111" s="143">
        <v>12470</v>
      </c>
      <c r="E111" s="139"/>
      <c r="F111" s="139"/>
      <c r="G111" s="139">
        <f t="shared" si="3"/>
        <v>149640</v>
      </c>
    </row>
    <row r="112" spans="1:7" ht="16.5" customHeight="1" x14ac:dyDescent="0.3">
      <c r="A112" s="141" t="s">
        <v>354</v>
      </c>
      <c r="B112" s="138">
        <v>2</v>
      </c>
      <c r="C112" s="139">
        <f t="shared" si="4"/>
        <v>19788.120000000003</v>
      </c>
      <c r="D112" s="143">
        <v>10770</v>
      </c>
      <c r="E112" s="139"/>
      <c r="F112" s="139">
        <v>9018.1200000000008</v>
      </c>
      <c r="G112" s="139">
        <f>C112*B112*12</f>
        <v>474914.88000000006</v>
      </c>
    </row>
    <row r="113" spans="1:9" x14ac:dyDescent="0.3">
      <c r="A113" s="141" t="s">
        <v>355</v>
      </c>
      <c r="B113" s="138">
        <v>1</v>
      </c>
      <c r="C113" s="139">
        <f t="shared" si="4"/>
        <v>11240</v>
      </c>
      <c r="D113" s="143">
        <v>11240</v>
      </c>
      <c r="E113" s="139"/>
      <c r="F113" s="139"/>
      <c r="G113" s="139">
        <f t="shared" si="3"/>
        <v>134880</v>
      </c>
    </row>
    <row r="114" spans="1:9" x14ac:dyDescent="0.3">
      <c r="A114" s="147" t="s">
        <v>356</v>
      </c>
      <c r="B114" s="134">
        <v>1</v>
      </c>
      <c r="C114" s="135">
        <f t="shared" si="4"/>
        <v>21519.53</v>
      </c>
      <c r="D114" s="136">
        <v>12500</v>
      </c>
      <c r="E114" s="135"/>
      <c r="F114" s="135">
        <v>9019.5300000000007</v>
      </c>
      <c r="G114" s="135">
        <f>C114*B114*12</f>
        <v>258234.36</v>
      </c>
    </row>
    <row r="115" spans="1:9" ht="14.4" customHeight="1" x14ac:dyDescent="0.3">
      <c r="A115" s="123" t="s">
        <v>357</v>
      </c>
      <c r="B115" s="126">
        <v>3</v>
      </c>
      <c r="C115" s="288">
        <f t="shared" si="4"/>
        <v>20277.34</v>
      </c>
      <c r="D115" s="125">
        <v>11500</v>
      </c>
      <c r="E115" s="288"/>
      <c r="F115" s="288">
        <f>8723.25+54.09</f>
        <v>8777.34</v>
      </c>
      <c r="G115" s="288">
        <f>C115*B115*12</f>
        <v>729984.24</v>
      </c>
    </row>
    <row r="116" spans="1:9" ht="24.75" customHeight="1" x14ac:dyDescent="0.3">
      <c r="A116" s="131" t="s">
        <v>358</v>
      </c>
      <c r="B116" s="126">
        <v>1</v>
      </c>
      <c r="C116" s="288">
        <f t="shared" si="4"/>
        <v>21659.86</v>
      </c>
      <c r="D116" s="125">
        <v>12470</v>
      </c>
      <c r="E116" s="288"/>
      <c r="F116" s="288">
        <v>9189.86</v>
      </c>
      <c r="G116" s="288">
        <f>C116*B116*12+0.1</f>
        <v>259918.42</v>
      </c>
    </row>
    <row r="117" spans="1:9" ht="18" customHeight="1" x14ac:dyDescent="0.3">
      <c r="A117" s="123" t="s">
        <v>145</v>
      </c>
      <c r="B117" s="129">
        <f>SUM(B23:B116)</f>
        <v>222</v>
      </c>
      <c r="C117" s="433"/>
      <c r="D117" s="433"/>
      <c r="E117" s="433"/>
      <c r="F117" s="433"/>
      <c r="G117" s="148">
        <f>SUM(G23:G116)</f>
        <v>74581038.280000001</v>
      </c>
      <c r="H117" s="44"/>
      <c r="I117" s="44"/>
    </row>
    <row r="118" spans="1:9" ht="17.25" customHeight="1" x14ac:dyDescent="0.3">
      <c r="A118" s="6"/>
      <c r="G118" s="44">
        <f>'гос.задание на 2023-2024 год '!E26+'гос.задание на 2023-2024 год '!E63</f>
        <v>74581038.280000001</v>
      </c>
      <c r="H118" s="44"/>
    </row>
    <row r="119" spans="1:9" ht="17.399999999999999" customHeight="1" x14ac:dyDescent="0.3">
      <c r="A119" s="6"/>
      <c r="G119" s="44"/>
    </row>
    <row r="120" spans="1:9" ht="23.25" customHeight="1" x14ac:dyDescent="0.3">
      <c r="A120" s="415" t="s">
        <v>179</v>
      </c>
      <c r="B120" s="415"/>
      <c r="C120" s="415"/>
      <c r="D120" s="415"/>
      <c r="E120" s="415"/>
      <c r="F120" s="415"/>
      <c r="G120" s="415"/>
    </row>
    <row r="121" spans="1:9" ht="17.399999999999999" x14ac:dyDescent="0.3">
      <c r="A121" s="102"/>
      <c r="B121" s="102"/>
      <c r="C121" s="102"/>
      <c r="D121" s="102"/>
      <c r="E121" s="102"/>
      <c r="F121" s="102"/>
      <c r="G121" s="102"/>
    </row>
    <row r="122" spans="1:9" ht="19.5" customHeight="1" x14ac:dyDescent="0.35">
      <c r="A122" s="7" t="s">
        <v>144</v>
      </c>
      <c r="B122" s="8">
        <v>119</v>
      </c>
    </row>
    <row r="123" spans="1:9" ht="15" x14ac:dyDescent="0.3">
      <c r="A123" s="9"/>
    </row>
    <row r="124" spans="1:9" x14ac:dyDescent="0.3">
      <c r="A124" s="416" t="s">
        <v>83</v>
      </c>
      <c r="B124" s="416" t="s">
        <v>243</v>
      </c>
      <c r="C124" s="416"/>
      <c r="D124" s="416" t="s">
        <v>184</v>
      </c>
      <c r="E124" s="416"/>
      <c r="F124" s="416" t="s">
        <v>84</v>
      </c>
      <c r="G124" s="416"/>
    </row>
    <row r="125" spans="1:9" ht="41.4" customHeight="1" x14ac:dyDescent="0.3">
      <c r="A125" s="416"/>
      <c r="B125" s="416"/>
      <c r="C125" s="416"/>
      <c r="D125" s="416"/>
      <c r="E125" s="416"/>
      <c r="F125" s="416"/>
      <c r="G125" s="416"/>
    </row>
    <row r="126" spans="1:9" ht="18" x14ac:dyDescent="0.3">
      <c r="A126" s="97">
        <v>1</v>
      </c>
      <c r="B126" s="416">
        <v>2</v>
      </c>
      <c r="C126" s="416"/>
      <c r="D126" s="416">
        <v>3</v>
      </c>
      <c r="E126" s="416"/>
      <c r="F126" s="416">
        <v>4</v>
      </c>
      <c r="G126" s="416"/>
    </row>
    <row r="127" spans="1:9" ht="22.5" customHeight="1" x14ac:dyDescent="0.3">
      <c r="A127" s="115">
        <f>B117</f>
        <v>222</v>
      </c>
      <c r="B127" s="417">
        <f>'гос.задание на 2023-2024 год '!D26+'гос.задание на 2023-2024 год '!D28+'гос.задание на 2023-2024 год '!D63</f>
        <v>97071140.840000004</v>
      </c>
      <c r="C127" s="417"/>
      <c r="D127" s="417">
        <f>G117</f>
        <v>74581038.280000001</v>
      </c>
      <c r="E127" s="417"/>
      <c r="F127" s="417">
        <f>B127-D127</f>
        <v>22490102.560000002</v>
      </c>
      <c r="G127" s="417"/>
    </row>
    <row r="128" spans="1:9" ht="17.399999999999999" x14ac:dyDescent="0.3">
      <c r="A128" s="6"/>
    </row>
    <row r="129" spans="1:7" ht="38.4" customHeight="1" x14ac:dyDescent="0.3">
      <c r="A129" s="424" t="s">
        <v>202</v>
      </c>
      <c r="B129" s="424"/>
      <c r="C129" s="424"/>
      <c r="D129" s="424"/>
      <c r="E129" s="424"/>
      <c r="F129" s="424"/>
      <c r="G129" s="424"/>
    </row>
    <row r="130" spans="1:7" ht="18" customHeight="1" x14ac:dyDescent="0.3">
      <c r="A130" s="7"/>
    </row>
    <row r="131" spans="1:7" ht="22.5" customHeight="1" x14ac:dyDescent="0.35">
      <c r="A131" s="7" t="s">
        <v>146</v>
      </c>
      <c r="B131" s="8">
        <v>112</v>
      </c>
    </row>
    <row r="132" spans="1:7" ht="20.25" customHeight="1" x14ac:dyDescent="0.3">
      <c r="A132" s="9"/>
    </row>
    <row r="133" spans="1:7" ht="55.5" customHeight="1" x14ac:dyDescent="0.3">
      <c r="A133" s="207" t="s">
        <v>85</v>
      </c>
      <c r="B133" s="207" t="s">
        <v>86</v>
      </c>
      <c r="C133" s="416" t="s">
        <v>87</v>
      </c>
      <c r="D133" s="416"/>
      <c r="E133" s="207" t="s">
        <v>88</v>
      </c>
      <c r="F133" s="416" t="s">
        <v>89</v>
      </c>
      <c r="G133" s="416"/>
    </row>
    <row r="134" spans="1:7" ht="18" x14ac:dyDescent="0.3">
      <c r="A134" s="207">
        <v>1</v>
      </c>
      <c r="B134" s="207">
        <v>2</v>
      </c>
      <c r="C134" s="416">
        <v>3</v>
      </c>
      <c r="D134" s="416"/>
      <c r="E134" s="207">
        <v>4</v>
      </c>
      <c r="F134" s="416">
        <v>5</v>
      </c>
      <c r="G134" s="416"/>
    </row>
    <row r="135" spans="1:7" ht="24.75" customHeight="1" x14ac:dyDescent="0.3">
      <c r="A135" s="206" t="s">
        <v>90</v>
      </c>
      <c r="B135" s="211">
        <v>8</v>
      </c>
      <c r="C135" s="416">
        <v>50</v>
      </c>
      <c r="D135" s="416"/>
      <c r="E135" s="211">
        <v>10</v>
      </c>
      <c r="F135" s="417">
        <f>'гос.задание на 2023-2024 год '!D27</f>
        <v>4000</v>
      </c>
      <c r="G135" s="417"/>
    </row>
    <row r="136" spans="1:7" ht="19.5" customHeight="1" x14ac:dyDescent="0.3">
      <c r="A136" s="13"/>
      <c r="B136" s="14"/>
      <c r="C136" s="17"/>
      <c r="D136" s="17"/>
      <c r="E136" s="14"/>
      <c r="F136" s="75"/>
      <c r="G136" s="75"/>
    </row>
    <row r="137" spans="1:7" ht="33" customHeight="1" x14ac:dyDescent="0.3">
      <c r="A137" s="424" t="s">
        <v>206</v>
      </c>
      <c r="B137" s="424"/>
      <c r="C137" s="424"/>
      <c r="D137" s="424"/>
      <c r="E137" s="424"/>
      <c r="F137" s="424"/>
      <c r="G137" s="424"/>
    </row>
    <row r="138" spans="1:7" ht="17.399999999999999" x14ac:dyDescent="0.3">
      <c r="A138" s="101"/>
      <c r="B138" s="101"/>
      <c r="C138" s="101"/>
      <c r="D138" s="101"/>
      <c r="E138" s="101"/>
      <c r="F138" s="101"/>
      <c r="G138" s="101"/>
    </row>
    <row r="139" spans="1:7" ht="18" x14ac:dyDescent="0.3">
      <c r="A139" s="7" t="s">
        <v>144</v>
      </c>
      <c r="B139" s="4">
        <v>111</v>
      </c>
    </row>
    <row r="140" spans="1:7" ht="21" customHeight="1" x14ac:dyDescent="0.3">
      <c r="A140" s="9"/>
    </row>
    <row r="141" spans="1:7" ht="41.25" customHeight="1" x14ac:dyDescent="0.3">
      <c r="A141" s="97" t="s">
        <v>85</v>
      </c>
      <c r="B141" s="416" t="s">
        <v>98</v>
      </c>
      <c r="C141" s="416"/>
      <c r="D141" s="416" t="s">
        <v>99</v>
      </c>
      <c r="E141" s="416"/>
      <c r="F141" s="416" t="s">
        <v>100</v>
      </c>
      <c r="G141" s="416"/>
    </row>
    <row r="142" spans="1:7" ht="19.95" customHeight="1" x14ac:dyDescent="0.35">
      <c r="A142" s="97">
        <v>1</v>
      </c>
      <c r="B142" s="408">
        <v>2</v>
      </c>
      <c r="C142" s="410"/>
      <c r="D142" s="408">
        <v>3</v>
      </c>
      <c r="E142" s="410"/>
      <c r="F142" s="422">
        <v>4</v>
      </c>
      <c r="G142" s="423"/>
    </row>
    <row r="143" spans="1:7" ht="93.75" customHeight="1" x14ac:dyDescent="0.3">
      <c r="A143" s="11" t="s">
        <v>101</v>
      </c>
      <c r="B143" s="408">
        <v>40</v>
      </c>
      <c r="C143" s="410"/>
      <c r="D143" s="452">
        <v>2762.5</v>
      </c>
      <c r="E143" s="453"/>
      <c r="F143" s="420">
        <f>'гос.задание на 2023-2024 год '!D63</f>
        <v>110500</v>
      </c>
      <c r="G143" s="421"/>
    </row>
    <row r="144" spans="1:7" ht="20.25" customHeight="1" x14ac:dyDescent="0.3">
      <c r="A144" s="13"/>
      <c r="B144" s="14"/>
      <c r="C144" s="14"/>
      <c r="D144" s="14"/>
      <c r="E144" s="14"/>
      <c r="F144" s="15"/>
      <c r="G144" s="15"/>
    </row>
    <row r="145" spans="1:7" ht="19.95" customHeight="1" x14ac:dyDescent="0.3">
      <c r="A145" s="26"/>
      <c r="B145" s="14"/>
      <c r="C145" s="17"/>
      <c r="D145" s="17"/>
      <c r="E145" s="17"/>
      <c r="F145" s="75"/>
      <c r="G145" s="75"/>
    </row>
    <row r="146" spans="1:7" ht="19.95" customHeight="1" x14ac:dyDescent="0.3">
      <c r="A146" s="26"/>
      <c r="B146" s="14"/>
      <c r="C146" s="17"/>
      <c r="D146" s="17"/>
      <c r="E146" s="17"/>
      <c r="F146" s="75"/>
      <c r="G146" s="75"/>
    </row>
    <row r="147" spans="1:7" ht="19.95" customHeight="1" x14ac:dyDescent="0.3">
      <c r="A147" s="26"/>
      <c r="B147" s="14"/>
      <c r="C147" s="17"/>
      <c r="D147" s="17"/>
      <c r="E147" s="17"/>
      <c r="F147" s="75"/>
      <c r="G147" s="75"/>
    </row>
    <row r="148" spans="1:7" ht="19.95" customHeight="1" x14ac:dyDescent="0.3">
      <c r="A148" s="26"/>
      <c r="B148" s="14"/>
      <c r="C148" s="17"/>
      <c r="D148" s="17"/>
      <c r="E148" s="17"/>
      <c r="F148" s="75"/>
      <c r="G148" s="75"/>
    </row>
    <row r="149" spans="1:7" ht="19.95" customHeight="1" x14ac:dyDescent="0.3">
      <c r="A149" s="26"/>
      <c r="B149" s="14"/>
      <c r="C149" s="17"/>
      <c r="D149" s="17"/>
      <c r="E149" s="17"/>
      <c r="F149" s="75"/>
      <c r="G149" s="75"/>
    </row>
    <row r="150" spans="1:7" ht="19.95" customHeight="1" x14ac:dyDescent="0.3">
      <c r="A150" s="26"/>
      <c r="B150" s="14"/>
      <c r="C150" s="17"/>
      <c r="D150" s="17"/>
      <c r="E150" s="17"/>
      <c r="F150" s="305"/>
      <c r="G150" s="305"/>
    </row>
    <row r="151" spans="1:7" ht="19.95" customHeight="1" x14ac:dyDescent="0.3">
      <c r="A151" s="26"/>
      <c r="B151" s="14"/>
      <c r="C151" s="17"/>
      <c r="D151" s="17"/>
      <c r="E151" s="17"/>
      <c r="F151" s="305"/>
      <c r="G151" s="305"/>
    </row>
    <row r="152" spans="1:7" ht="19.95" customHeight="1" x14ac:dyDescent="0.3">
      <c r="A152" s="26"/>
      <c r="B152" s="14"/>
      <c r="C152" s="17"/>
      <c r="D152" s="17"/>
      <c r="E152" s="17"/>
      <c r="F152" s="292"/>
      <c r="G152" s="292"/>
    </row>
    <row r="153" spans="1:7" ht="19.95" customHeight="1" x14ac:dyDescent="0.3">
      <c r="A153" s="26"/>
      <c r="B153" s="14"/>
      <c r="C153" s="17"/>
      <c r="D153" s="17"/>
      <c r="E153" s="17"/>
      <c r="F153" s="75"/>
      <c r="G153" s="75"/>
    </row>
    <row r="154" spans="1:7" ht="21.75" customHeight="1" x14ac:dyDescent="0.3">
      <c r="A154" s="424" t="s">
        <v>225</v>
      </c>
      <c r="B154" s="424"/>
      <c r="C154" s="424"/>
      <c r="D154" s="424"/>
      <c r="E154" s="424"/>
      <c r="F154" s="424"/>
      <c r="G154" s="424"/>
    </row>
    <row r="155" spans="1:7" ht="17.399999999999999" x14ac:dyDescent="0.3">
      <c r="A155" s="161"/>
      <c r="B155" s="161"/>
      <c r="C155" s="161"/>
      <c r="D155" s="161"/>
      <c r="E155" s="161"/>
      <c r="F155" s="161"/>
      <c r="G155" s="161"/>
    </row>
    <row r="156" spans="1:7" ht="18" x14ac:dyDescent="0.35">
      <c r="A156" s="7" t="s">
        <v>144</v>
      </c>
      <c r="B156" s="8">
        <v>851</v>
      </c>
    </row>
    <row r="157" spans="1:7" ht="15" x14ac:dyDescent="0.3">
      <c r="A157" s="9"/>
    </row>
    <row r="158" spans="1:7" ht="18" x14ac:dyDescent="0.3">
      <c r="A158" s="115" t="s">
        <v>85</v>
      </c>
      <c r="B158" s="416" t="s">
        <v>108</v>
      </c>
      <c r="C158" s="416"/>
      <c r="D158" s="416" t="s">
        <v>109</v>
      </c>
      <c r="E158" s="416"/>
      <c r="F158" s="416" t="s">
        <v>110</v>
      </c>
      <c r="G158" s="416"/>
    </row>
    <row r="159" spans="1:7" ht="18" x14ac:dyDescent="0.3">
      <c r="A159" s="115">
        <v>1</v>
      </c>
      <c r="B159" s="416">
        <v>2</v>
      </c>
      <c r="C159" s="416"/>
      <c r="D159" s="499">
        <v>3</v>
      </c>
      <c r="E159" s="499"/>
      <c r="F159" s="499">
        <v>4</v>
      </c>
      <c r="G159" s="499"/>
    </row>
    <row r="160" spans="1:7" ht="36" x14ac:dyDescent="0.3">
      <c r="A160" s="11" t="s">
        <v>111</v>
      </c>
      <c r="B160" s="425">
        <v>2063701.82</v>
      </c>
      <c r="C160" s="425"/>
      <c r="D160" s="567">
        <v>2.2000000000000002</v>
      </c>
      <c r="E160" s="568"/>
      <c r="F160" s="417">
        <f>B160*D160%</f>
        <v>45401.440040000009</v>
      </c>
      <c r="G160" s="417"/>
    </row>
    <row r="161" spans="1:7" ht="18" x14ac:dyDescent="0.3">
      <c r="A161" s="411" t="s">
        <v>112</v>
      </c>
      <c r="B161" s="425">
        <v>16752525</v>
      </c>
      <c r="C161" s="425"/>
      <c r="D161" s="567">
        <v>1.5</v>
      </c>
      <c r="E161" s="568"/>
      <c r="F161" s="417">
        <f>B161*D161%</f>
        <v>251287.875</v>
      </c>
      <c r="G161" s="417"/>
    </row>
    <row r="162" spans="1:7" ht="18" x14ac:dyDescent="0.3">
      <c r="A162" s="411"/>
      <c r="B162" s="425">
        <v>7366424</v>
      </c>
      <c r="C162" s="425"/>
      <c r="D162" s="567">
        <v>0.12</v>
      </c>
      <c r="E162" s="568"/>
      <c r="F162" s="417">
        <f>B162*D162%</f>
        <v>8839.7087999999985</v>
      </c>
      <c r="G162" s="417"/>
    </row>
    <row r="163" spans="1:7" ht="18" x14ac:dyDescent="0.3">
      <c r="A163" s="11" t="s">
        <v>361</v>
      </c>
      <c r="B163" s="499"/>
      <c r="C163" s="499"/>
      <c r="D163" s="499"/>
      <c r="E163" s="499"/>
      <c r="F163" s="417">
        <f>'гос.задание на 2023-2024 год '!D69</f>
        <v>305529.02</v>
      </c>
      <c r="G163" s="417"/>
    </row>
    <row r="164" spans="1:7" ht="18" x14ac:dyDescent="0.3">
      <c r="A164" s="13"/>
      <c r="B164" s="14"/>
      <c r="C164" s="17"/>
      <c r="D164" s="18"/>
      <c r="E164" s="19"/>
      <c r="F164" s="19"/>
      <c r="G164" s="19"/>
    </row>
    <row r="165" spans="1:7" ht="18" x14ac:dyDescent="0.3">
      <c r="A165" s="7" t="s">
        <v>113</v>
      </c>
    </row>
    <row r="166" spans="1:7" ht="15" x14ac:dyDescent="0.3">
      <c r="A166" s="9"/>
    </row>
    <row r="167" spans="1:7" ht="18" x14ac:dyDescent="0.3">
      <c r="A167" s="97" t="s">
        <v>85</v>
      </c>
      <c r="B167" s="416" t="s">
        <v>108</v>
      </c>
      <c r="C167" s="416"/>
      <c r="D167" s="416" t="s">
        <v>109</v>
      </c>
      <c r="E167" s="416"/>
      <c r="F167" s="416" t="s">
        <v>114</v>
      </c>
      <c r="G167" s="416"/>
    </row>
    <row r="168" spans="1:7" ht="18" x14ac:dyDescent="0.35">
      <c r="A168" s="97">
        <v>1</v>
      </c>
      <c r="B168" s="408">
        <v>2</v>
      </c>
      <c r="C168" s="410"/>
      <c r="D168" s="408">
        <v>3</v>
      </c>
      <c r="E168" s="410"/>
      <c r="F168" s="422">
        <v>4</v>
      </c>
      <c r="G168" s="423"/>
    </row>
    <row r="169" spans="1:7" ht="38.25" customHeight="1" x14ac:dyDescent="0.3">
      <c r="A169" s="11" t="s">
        <v>115</v>
      </c>
      <c r="B169" s="408" t="s">
        <v>116</v>
      </c>
      <c r="C169" s="410"/>
      <c r="D169" s="408" t="s">
        <v>116</v>
      </c>
      <c r="E169" s="410"/>
      <c r="F169" s="420">
        <f>'гос.задание на 2023-2024 год '!D70</f>
        <v>11960</v>
      </c>
      <c r="G169" s="512"/>
    </row>
    <row r="170" spans="1:7" ht="18" x14ac:dyDescent="0.3">
      <c r="A170" s="7"/>
    </row>
    <row r="171" spans="1:7" ht="20.25" customHeight="1" x14ac:dyDescent="0.3">
      <c r="A171" s="424" t="s">
        <v>213</v>
      </c>
      <c r="B171" s="424"/>
      <c r="C171" s="424"/>
      <c r="D171" s="424"/>
      <c r="E171" s="424"/>
      <c r="F171" s="424"/>
      <c r="G171" s="424"/>
    </row>
    <row r="172" spans="1:7" ht="17.399999999999999" x14ac:dyDescent="0.3">
      <c r="A172" s="415" t="s">
        <v>215</v>
      </c>
      <c r="B172" s="415"/>
      <c r="C172" s="415"/>
      <c r="D172" s="415"/>
      <c r="E172" s="415"/>
      <c r="F172" s="415"/>
      <c r="G172" s="415"/>
    </row>
    <row r="173" spans="1:7" ht="17.25" customHeight="1" x14ac:dyDescent="0.3">
      <c r="A173" s="7"/>
    </row>
    <row r="174" spans="1:7" ht="20.25" customHeight="1" x14ac:dyDescent="0.35">
      <c r="A174" s="7" t="s">
        <v>144</v>
      </c>
      <c r="B174" s="8">
        <v>244</v>
      </c>
    </row>
    <row r="175" spans="1:7" ht="17.399999999999999" x14ac:dyDescent="0.3">
      <c r="A175" s="6"/>
    </row>
    <row r="176" spans="1:7" ht="38.25" customHeight="1" x14ac:dyDescent="0.3">
      <c r="A176" s="408" t="s">
        <v>85</v>
      </c>
      <c r="B176" s="410"/>
      <c r="C176" s="213" t="s">
        <v>120</v>
      </c>
      <c r="D176" s="408" t="s">
        <v>121</v>
      </c>
      <c r="E176" s="410"/>
      <c r="F176" s="408" t="s">
        <v>185</v>
      </c>
      <c r="G176" s="410"/>
    </row>
    <row r="177" spans="1:7" ht="20.399999999999999" customHeight="1" x14ac:dyDescent="0.3">
      <c r="A177" s="571">
        <v>1</v>
      </c>
      <c r="B177" s="572"/>
      <c r="C177" s="208">
        <v>2</v>
      </c>
      <c r="D177" s="408">
        <v>3</v>
      </c>
      <c r="E177" s="410"/>
      <c r="F177" s="559">
        <v>4</v>
      </c>
      <c r="G177" s="560"/>
    </row>
    <row r="178" spans="1:7" ht="18.75" customHeight="1" x14ac:dyDescent="0.3">
      <c r="A178" s="492" t="s">
        <v>122</v>
      </c>
      <c r="B178" s="493"/>
      <c r="C178" s="210">
        <v>13</v>
      </c>
      <c r="D178" s="488">
        <v>357</v>
      </c>
      <c r="E178" s="488"/>
      <c r="F178" s="488">
        <f>C178*D178*12</f>
        <v>55692</v>
      </c>
      <c r="G178" s="488"/>
    </row>
    <row r="179" spans="1:7" ht="18" x14ac:dyDescent="0.3">
      <c r="A179" s="492" t="s">
        <v>359</v>
      </c>
      <c r="B179" s="493"/>
      <c r="C179" s="210">
        <v>7</v>
      </c>
      <c r="D179" s="488">
        <v>59</v>
      </c>
      <c r="E179" s="488"/>
      <c r="F179" s="488">
        <f>C179*D179*12</f>
        <v>4956</v>
      </c>
      <c r="G179" s="488"/>
    </row>
    <row r="180" spans="1:7" ht="21" customHeight="1" x14ac:dyDescent="0.3">
      <c r="A180" s="573" t="s">
        <v>360</v>
      </c>
      <c r="B180" s="574"/>
      <c r="C180" s="210">
        <v>5</v>
      </c>
      <c r="D180" s="488">
        <v>499.7</v>
      </c>
      <c r="E180" s="488"/>
      <c r="F180" s="488">
        <f>C180*D180*12</f>
        <v>29982</v>
      </c>
      <c r="G180" s="488"/>
    </row>
    <row r="181" spans="1:7" ht="18" customHeight="1" x14ac:dyDescent="0.3">
      <c r="A181" s="412" t="s">
        <v>361</v>
      </c>
      <c r="B181" s="414"/>
      <c r="C181" s="167"/>
      <c r="D181" s="559"/>
      <c r="E181" s="560"/>
      <c r="F181" s="569">
        <f>'гос.задание на 2023-2024 год '!D34</f>
        <v>90630</v>
      </c>
      <c r="G181" s="570"/>
    </row>
    <row r="182" spans="1:7" ht="18" customHeight="1" x14ac:dyDescent="0.3">
      <c r="A182" s="21"/>
    </row>
    <row r="183" spans="1:7" ht="25.5" customHeight="1" x14ac:dyDescent="0.3">
      <c r="A183" s="415" t="s">
        <v>217</v>
      </c>
      <c r="B183" s="415"/>
      <c r="C183" s="415"/>
      <c r="D183" s="415"/>
      <c r="E183" s="415"/>
      <c r="F183" s="415"/>
      <c r="G183" s="415"/>
    </row>
    <row r="184" spans="1:7" ht="21" customHeight="1" x14ac:dyDescent="0.3">
      <c r="A184" s="7"/>
    </row>
    <row r="185" spans="1:7" ht="21" customHeight="1" x14ac:dyDescent="0.35">
      <c r="A185" s="7" t="s">
        <v>144</v>
      </c>
      <c r="B185" s="8">
        <v>244</v>
      </c>
    </row>
    <row r="186" spans="1:7" ht="17.399999999999999" x14ac:dyDescent="0.3">
      <c r="A186" s="6"/>
    </row>
    <row r="187" spans="1:7" ht="46.95" customHeight="1" x14ac:dyDescent="0.3">
      <c r="A187" s="416" t="s">
        <v>85</v>
      </c>
      <c r="B187" s="416"/>
      <c r="C187" s="285" t="s">
        <v>125</v>
      </c>
      <c r="D187" s="416" t="s">
        <v>126</v>
      </c>
      <c r="E187" s="416"/>
      <c r="F187" s="416" t="s">
        <v>93</v>
      </c>
      <c r="G187" s="416"/>
    </row>
    <row r="188" spans="1:7" ht="18" x14ac:dyDescent="0.3">
      <c r="A188" s="416">
        <v>1</v>
      </c>
      <c r="B188" s="416"/>
      <c r="C188" s="286">
        <v>2</v>
      </c>
      <c r="D188" s="416">
        <v>3</v>
      </c>
      <c r="E188" s="416"/>
      <c r="F188" s="416">
        <v>4</v>
      </c>
      <c r="G188" s="416"/>
    </row>
    <row r="189" spans="1:7" ht="18" x14ac:dyDescent="0.3">
      <c r="A189" s="411" t="s">
        <v>21</v>
      </c>
      <c r="B189" s="411"/>
      <c r="C189" s="355">
        <v>3124.8502400000002</v>
      </c>
      <c r="D189" s="417">
        <v>96.22</v>
      </c>
      <c r="E189" s="417"/>
      <c r="F189" s="417">
        <f>'гос.задание на 2023-2024 год '!E46</f>
        <v>300673.09000000003</v>
      </c>
      <c r="G189" s="417"/>
    </row>
    <row r="190" spans="1:7" ht="38.25" customHeight="1" x14ac:dyDescent="0.3">
      <c r="A190" s="412" t="s">
        <v>22</v>
      </c>
      <c r="B190" s="414"/>
      <c r="C190" s="286">
        <v>375.24173000000002</v>
      </c>
      <c r="D190" s="452">
        <v>361.15</v>
      </c>
      <c r="E190" s="453"/>
      <c r="F190" s="452">
        <f>'Закупки гос.зад на 2023-2024'!E78</f>
        <v>135518.54999999999</v>
      </c>
      <c r="G190" s="453"/>
    </row>
    <row r="191" spans="1:7" ht="19.2" customHeight="1" x14ac:dyDescent="0.3">
      <c r="A191" s="411" t="s">
        <v>361</v>
      </c>
      <c r="B191" s="411"/>
      <c r="C191" s="286"/>
      <c r="D191" s="417"/>
      <c r="E191" s="417"/>
      <c r="F191" s="417">
        <f>SUM(F188:G190)</f>
        <v>436195.64</v>
      </c>
      <c r="G191" s="417"/>
    </row>
    <row r="192" spans="1:7" ht="19.2" customHeight="1" x14ac:dyDescent="0.3">
      <c r="A192" s="26"/>
      <c r="B192" s="26"/>
      <c r="C192" s="17"/>
      <c r="D192" s="289"/>
      <c r="E192" s="289"/>
      <c r="F192" s="289"/>
      <c r="G192" s="289"/>
    </row>
    <row r="193" spans="1:8" ht="15.75" customHeight="1" x14ac:dyDescent="0.35">
      <c r="A193" s="7" t="s">
        <v>144</v>
      </c>
      <c r="B193" s="8">
        <v>247</v>
      </c>
    </row>
    <row r="194" spans="1:8" ht="15.75" customHeight="1" x14ac:dyDescent="0.3">
      <c r="A194" s="6"/>
    </row>
    <row r="195" spans="1:8" ht="15.75" customHeight="1" x14ac:dyDescent="0.3">
      <c r="A195" s="416" t="s">
        <v>85</v>
      </c>
      <c r="B195" s="416"/>
      <c r="C195" s="200" t="s">
        <v>125</v>
      </c>
      <c r="D195" s="416" t="s">
        <v>126</v>
      </c>
      <c r="E195" s="416"/>
      <c r="F195" s="416" t="s">
        <v>93</v>
      </c>
      <c r="G195" s="416"/>
    </row>
    <row r="196" spans="1:8" ht="15.75" customHeight="1" x14ac:dyDescent="0.3">
      <c r="A196" s="416">
        <v>1</v>
      </c>
      <c r="B196" s="416"/>
      <c r="C196" s="156">
        <v>2</v>
      </c>
      <c r="D196" s="416">
        <v>3</v>
      </c>
      <c r="E196" s="416"/>
      <c r="F196" s="416">
        <v>4</v>
      </c>
      <c r="G196" s="416"/>
    </row>
    <row r="197" spans="1:8" ht="34.950000000000003" customHeight="1" x14ac:dyDescent="0.3">
      <c r="A197" s="411" t="s">
        <v>18</v>
      </c>
      <c r="B197" s="411"/>
      <c r="C197" s="231">
        <v>879.43215999999995</v>
      </c>
      <c r="D197" s="417">
        <v>2577.5</v>
      </c>
      <c r="E197" s="417"/>
      <c r="F197" s="417">
        <f>'гос.задание на 2023-2024 год '!D43</f>
        <v>2266736.38</v>
      </c>
      <c r="G197" s="417"/>
      <c r="H197" s="299"/>
    </row>
    <row r="198" spans="1:8" ht="34.950000000000003" customHeight="1" x14ac:dyDescent="0.3">
      <c r="A198" s="411" t="s">
        <v>20</v>
      </c>
      <c r="B198" s="411"/>
      <c r="C198" s="231">
        <v>62485.137889999998</v>
      </c>
      <c r="D198" s="417">
        <v>9.5</v>
      </c>
      <c r="E198" s="417"/>
      <c r="F198" s="417">
        <f>'гос.задание на 2023-2024 год '!D45</f>
        <v>593608.81000000006</v>
      </c>
      <c r="G198" s="417"/>
      <c r="H198" s="299"/>
    </row>
    <row r="199" spans="1:8" ht="15.75" customHeight="1" x14ac:dyDescent="0.3">
      <c r="A199" s="411" t="s">
        <v>361</v>
      </c>
      <c r="B199" s="411"/>
      <c r="C199" s="231"/>
      <c r="D199" s="417"/>
      <c r="E199" s="417"/>
      <c r="F199" s="417">
        <f>SUM(F197:F198)</f>
        <v>2860345.19</v>
      </c>
      <c r="G199" s="417"/>
    </row>
    <row r="200" spans="1:8" ht="15.75" customHeight="1" x14ac:dyDescent="0.3">
      <c r="A200" s="23"/>
      <c r="B200" s="24"/>
      <c r="C200" s="24"/>
      <c r="D200" s="24"/>
      <c r="E200" s="24"/>
      <c r="F200" s="24"/>
      <c r="G200" s="24"/>
    </row>
    <row r="201" spans="1:8" ht="15.75" customHeight="1" x14ac:dyDescent="0.3">
      <c r="A201" s="169"/>
      <c r="B201" s="17"/>
      <c r="C201" s="17"/>
      <c r="D201" s="17"/>
      <c r="E201" s="17"/>
      <c r="F201" s="17"/>
      <c r="G201" s="17"/>
    </row>
    <row r="202" spans="1:8" ht="34.5" customHeight="1" x14ac:dyDescent="0.3">
      <c r="A202" s="169"/>
      <c r="B202" s="17"/>
      <c r="C202" s="17"/>
      <c r="D202" s="17"/>
      <c r="E202" s="17"/>
      <c r="F202" s="17"/>
      <c r="G202" s="17"/>
    </row>
    <row r="203" spans="1:8" ht="34.5" customHeight="1" x14ac:dyDescent="0.3">
      <c r="A203" s="169"/>
      <c r="B203" s="17"/>
      <c r="C203" s="17"/>
      <c r="D203" s="17"/>
      <c r="E203" s="17"/>
      <c r="F203" s="17"/>
      <c r="G203" s="17"/>
    </row>
    <row r="204" spans="1:8" ht="17.399999999999999" customHeight="1" x14ac:dyDescent="0.3">
      <c r="A204" s="169"/>
      <c r="B204" s="17"/>
      <c r="C204" s="17"/>
      <c r="D204" s="17"/>
      <c r="E204" s="17"/>
      <c r="F204" s="17"/>
      <c r="G204" s="17"/>
    </row>
    <row r="205" spans="1:8" ht="35.25" customHeight="1" x14ac:dyDescent="0.3">
      <c r="A205" s="441" t="s">
        <v>435</v>
      </c>
      <c r="B205" s="441"/>
      <c r="C205" s="441"/>
      <c r="D205" s="441"/>
      <c r="E205" s="441"/>
      <c r="F205" s="441"/>
      <c r="G205" s="441"/>
    </row>
    <row r="206" spans="1:8" ht="18" x14ac:dyDescent="0.3">
      <c r="A206" s="7"/>
    </row>
    <row r="207" spans="1:8" ht="18.75" customHeight="1" x14ac:dyDescent="0.35">
      <c r="A207" s="7" t="s">
        <v>144</v>
      </c>
      <c r="B207" s="8">
        <v>244</v>
      </c>
    </row>
    <row r="208" spans="1:8" ht="17.399999999999999" x14ac:dyDescent="0.3">
      <c r="A208" s="6"/>
    </row>
    <row r="209" spans="1:7" ht="36" x14ac:dyDescent="0.3">
      <c r="A209" s="408" t="s">
        <v>85</v>
      </c>
      <c r="B209" s="409"/>
      <c r="C209" s="409"/>
      <c r="D209" s="410"/>
      <c r="E209" s="156" t="s">
        <v>130</v>
      </c>
      <c r="F209" s="416" t="s">
        <v>131</v>
      </c>
      <c r="G209" s="416"/>
    </row>
    <row r="210" spans="1:7" ht="18" x14ac:dyDescent="0.35">
      <c r="A210" s="408">
        <v>1</v>
      </c>
      <c r="B210" s="409"/>
      <c r="C210" s="409"/>
      <c r="D210" s="410"/>
      <c r="E210" s="158">
        <v>2</v>
      </c>
      <c r="F210" s="422">
        <v>3</v>
      </c>
      <c r="G210" s="423"/>
    </row>
    <row r="211" spans="1:7" ht="18" x14ac:dyDescent="0.3">
      <c r="A211" s="575" t="s">
        <v>362</v>
      </c>
      <c r="B211" s="576"/>
      <c r="C211" s="576"/>
      <c r="D211" s="577"/>
      <c r="E211" s="157">
        <v>8</v>
      </c>
      <c r="F211" s="434">
        <v>80000</v>
      </c>
      <c r="G211" s="434"/>
    </row>
    <row r="212" spans="1:7" ht="18" x14ac:dyDescent="0.3">
      <c r="A212" s="578" t="s">
        <v>363</v>
      </c>
      <c r="B212" s="579"/>
      <c r="C212" s="579"/>
      <c r="D212" s="580"/>
      <c r="E212" s="160">
        <v>12</v>
      </c>
      <c r="F212" s="434">
        <v>16902.560000000001</v>
      </c>
      <c r="G212" s="434"/>
    </row>
    <row r="213" spans="1:7" ht="18" x14ac:dyDescent="0.3">
      <c r="A213" s="578" t="s">
        <v>364</v>
      </c>
      <c r="B213" s="579"/>
      <c r="C213" s="579"/>
      <c r="D213" s="580"/>
      <c r="E213" s="157">
        <v>12</v>
      </c>
      <c r="F213" s="434">
        <v>66306.759999999995</v>
      </c>
      <c r="G213" s="434"/>
    </row>
    <row r="214" spans="1:7" ht="39" customHeight="1" x14ac:dyDescent="0.3">
      <c r="A214" s="581" t="s">
        <v>365</v>
      </c>
      <c r="B214" s="582"/>
      <c r="C214" s="582"/>
      <c r="D214" s="583"/>
      <c r="E214" s="157">
        <v>12</v>
      </c>
      <c r="F214" s="434">
        <v>10577.35</v>
      </c>
      <c r="G214" s="434"/>
    </row>
    <row r="215" spans="1:7" ht="18" x14ac:dyDescent="0.35">
      <c r="A215" s="408" t="s">
        <v>361</v>
      </c>
      <c r="B215" s="409"/>
      <c r="C215" s="409"/>
      <c r="D215" s="409"/>
      <c r="E215" s="201"/>
      <c r="F215" s="447">
        <f>'гос.задание на 2023-2024 год '!D51</f>
        <v>173786.67</v>
      </c>
      <c r="G215" s="449"/>
    </row>
    <row r="216" spans="1:7" ht="18" x14ac:dyDescent="0.3">
      <c r="A216" s="27"/>
    </row>
    <row r="217" spans="1:7" ht="17.399999999999999" x14ac:dyDescent="0.3">
      <c r="A217" s="415" t="s">
        <v>220</v>
      </c>
      <c r="B217" s="415"/>
      <c r="C217" s="415"/>
      <c r="D217" s="415"/>
      <c r="E217" s="415"/>
      <c r="F217" s="415"/>
      <c r="G217" s="415"/>
    </row>
    <row r="218" spans="1:7" ht="26.25" customHeight="1" x14ac:dyDescent="0.3">
      <c r="A218" s="7"/>
    </row>
    <row r="219" spans="1:7" ht="18" x14ac:dyDescent="0.35">
      <c r="A219" s="7" t="s">
        <v>144</v>
      </c>
      <c r="B219" s="8">
        <v>244</v>
      </c>
    </row>
    <row r="220" spans="1:7" ht="17.399999999999999" x14ac:dyDescent="0.3">
      <c r="A220" s="6"/>
    </row>
    <row r="221" spans="1:7" ht="18" x14ac:dyDescent="0.3">
      <c r="A221" s="416" t="s">
        <v>85</v>
      </c>
      <c r="B221" s="416"/>
      <c r="C221" s="416"/>
      <c r="D221" s="416" t="s">
        <v>136</v>
      </c>
      <c r="E221" s="416"/>
      <c r="F221" s="416" t="s">
        <v>137</v>
      </c>
      <c r="G221" s="416"/>
    </row>
    <row r="222" spans="1:7" ht="18" x14ac:dyDescent="0.35">
      <c r="A222" s="408">
        <v>1</v>
      </c>
      <c r="B222" s="409"/>
      <c r="C222" s="410"/>
      <c r="D222" s="422">
        <v>2</v>
      </c>
      <c r="E222" s="423"/>
      <c r="F222" s="422">
        <v>3</v>
      </c>
      <c r="G222" s="423"/>
    </row>
    <row r="223" spans="1:7" ht="18" x14ac:dyDescent="0.3">
      <c r="A223" s="443" t="s">
        <v>368</v>
      </c>
      <c r="B223" s="443"/>
      <c r="C223" s="443"/>
      <c r="D223" s="475">
        <v>1</v>
      </c>
      <c r="E223" s="475"/>
      <c r="F223" s="440">
        <v>86000</v>
      </c>
      <c r="G223" s="440"/>
    </row>
    <row r="224" spans="1:7" ht="18" x14ac:dyDescent="0.3">
      <c r="A224" s="443" t="s">
        <v>139</v>
      </c>
      <c r="B224" s="443"/>
      <c r="C224" s="443"/>
      <c r="D224" s="475">
        <v>4</v>
      </c>
      <c r="E224" s="475"/>
      <c r="F224" s="440">
        <f>1425206+140282.11</f>
        <v>1565488.1099999999</v>
      </c>
      <c r="G224" s="440"/>
    </row>
    <row r="225" spans="1:7" ht="18.75" customHeight="1" x14ac:dyDescent="0.3">
      <c r="A225" s="443" t="s">
        <v>140</v>
      </c>
      <c r="B225" s="443"/>
      <c r="C225" s="443"/>
      <c r="D225" s="475">
        <v>6</v>
      </c>
      <c r="E225" s="475"/>
      <c r="F225" s="440">
        <v>33000</v>
      </c>
      <c r="G225" s="440"/>
    </row>
    <row r="226" spans="1:7" ht="23.4" customHeight="1" x14ac:dyDescent="0.3">
      <c r="A226" s="444" t="s">
        <v>366</v>
      </c>
      <c r="B226" s="444"/>
      <c r="C226" s="444"/>
      <c r="D226" s="475">
        <v>3</v>
      </c>
      <c r="E226" s="475"/>
      <c r="F226" s="440">
        <v>24000</v>
      </c>
      <c r="G226" s="440"/>
    </row>
    <row r="227" spans="1:7" ht="18" x14ac:dyDescent="0.3">
      <c r="A227" s="444" t="s">
        <v>367</v>
      </c>
      <c r="B227" s="444"/>
      <c r="C227" s="444"/>
      <c r="D227" s="475">
        <v>3</v>
      </c>
      <c r="E227" s="475"/>
      <c r="F227" s="440">
        <v>19500.29</v>
      </c>
      <c r="G227" s="440"/>
    </row>
    <row r="228" spans="1:7" ht="18" x14ac:dyDescent="0.35">
      <c r="A228" s="412" t="s">
        <v>361</v>
      </c>
      <c r="B228" s="413"/>
      <c r="C228" s="414"/>
      <c r="D228" s="584"/>
      <c r="E228" s="585"/>
      <c r="F228" s="447">
        <f>'гос.задание на 2023-2024 год '!D57</f>
        <v>1727988.4</v>
      </c>
      <c r="G228" s="449"/>
    </row>
    <row r="229" spans="1:7" ht="17.399999999999999" x14ac:dyDescent="0.3">
      <c r="A229" s="6"/>
    </row>
    <row r="230" spans="1:7" ht="21" customHeight="1" x14ac:dyDescent="0.3">
      <c r="A230" s="415" t="s">
        <v>221</v>
      </c>
      <c r="B230" s="415"/>
      <c r="C230" s="415"/>
      <c r="D230" s="415"/>
      <c r="E230" s="415"/>
      <c r="F230" s="415"/>
      <c r="G230" s="415"/>
    </row>
    <row r="231" spans="1:7" ht="18" customHeight="1" x14ac:dyDescent="0.3">
      <c r="A231" s="7"/>
    </row>
    <row r="232" spans="1:7" ht="18" x14ac:dyDescent="0.35">
      <c r="A232" s="7" t="s">
        <v>144</v>
      </c>
      <c r="B232" s="8">
        <v>244</v>
      </c>
    </row>
    <row r="233" spans="1:7" ht="17.399999999999999" x14ac:dyDescent="0.3">
      <c r="A233" s="6"/>
    </row>
    <row r="234" spans="1:7" ht="30" customHeight="1" x14ac:dyDescent="0.3">
      <c r="A234" s="408" t="s">
        <v>85</v>
      </c>
      <c r="B234" s="410"/>
      <c r="C234" s="408" t="s">
        <v>136</v>
      </c>
      <c r="D234" s="410"/>
      <c r="E234" s="408" t="s">
        <v>137</v>
      </c>
      <c r="F234" s="409"/>
      <c r="G234" s="410"/>
    </row>
    <row r="235" spans="1:7" ht="18" x14ac:dyDescent="0.35">
      <c r="A235" s="408">
        <v>1</v>
      </c>
      <c r="B235" s="410"/>
      <c r="C235" s="408">
        <v>2</v>
      </c>
      <c r="D235" s="410"/>
      <c r="E235" s="422">
        <v>3</v>
      </c>
      <c r="F235" s="450"/>
      <c r="G235" s="423"/>
    </row>
    <row r="236" spans="1:7" ht="18" x14ac:dyDescent="0.35">
      <c r="A236" s="412" t="s">
        <v>25</v>
      </c>
      <c r="B236" s="414"/>
      <c r="C236" s="408">
        <v>2</v>
      </c>
      <c r="D236" s="410"/>
      <c r="E236" s="447">
        <f>'гос.задание на 2023-2024 год '!D58</f>
        <v>15000</v>
      </c>
      <c r="F236" s="448"/>
      <c r="G236" s="449"/>
    </row>
    <row r="237" spans="1:7" ht="12" customHeight="1" x14ac:dyDescent="0.3">
      <c r="A237" s="21"/>
    </row>
    <row r="238" spans="1:7" ht="17.399999999999999" x14ac:dyDescent="0.3">
      <c r="A238" s="424" t="s">
        <v>224</v>
      </c>
      <c r="B238" s="424"/>
      <c r="C238" s="424"/>
      <c r="D238" s="424"/>
      <c r="E238" s="424"/>
      <c r="F238" s="424"/>
      <c r="G238" s="424"/>
    </row>
    <row r="239" spans="1:7" ht="18.600000000000001" customHeight="1" x14ac:dyDescent="0.3">
      <c r="A239" s="7"/>
    </row>
    <row r="240" spans="1:7" ht="24" customHeight="1" x14ac:dyDescent="0.35">
      <c r="A240" s="7" t="s">
        <v>144</v>
      </c>
      <c r="B240" s="8">
        <v>244</v>
      </c>
    </row>
    <row r="241" spans="1:7" ht="17.399999999999999" x14ac:dyDescent="0.3">
      <c r="A241" s="6"/>
    </row>
    <row r="242" spans="1:7" ht="16.2" customHeight="1" x14ac:dyDescent="0.3">
      <c r="A242" s="408" t="s">
        <v>85</v>
      </c>
      <c r="B242" s="410"/>
      <c r="C242" s="115" t="s">
        <v>141</v>
      </c>
      <c r="D242" s="416" t="s">
        <v>142</v>
      </c>
      <c r="E242" s="416"/>
      <c r="F242" s="416" t="s">
        <v>149</v>
      </c>
      <c r="G242" s="416"/>
    </row>
    <row r="243" spans="1:7" ht="16.2" customHeight="1" x14ac:dyDescent="0.3">
      <c r="A243" s="408">
        <v>1</v>
      </c>
      <c r="B243" s="410"/>
      <c r="C243" s="116">
        <v>2</v>
      </c>
      <c r="D243" s="408">
        <v>3</v>
      </c>
      <c r="E243" s="410"/>
      <c r="F243" s="408">
        <v>4</v>
      </c>
      <c r="G243" s="410"/>
    </row>
    <row r="244" spans="1:7" ht="16.2" customHeight="1" x14ac:dyDescent="0.3">
      <c r="A244" s="444" t="s">
        <v>369</v>
      </c>
      <c r="B244" s="444"/>
      <c r="C244" s="149">
        <v>1410</v>
      </c>
      <c r="D244" s="425">
        <v>59.4</v>
      </c>
      <c r="E244" s="425"/>
      <c r="F244" s="586">
        <f>C244*D244</f>
        <v>83754</v>
      </c>
      <c r="G244" s="586"/>
    </row>
    <row r="245" spans="1:7" ht="16.2" customHeight="1" x14ac:dyDescent="0.3">
      <c r="A245" s="444" t="s">
        <v>370</v>
      </c>
      <c r="B245" s="444"/>
      <c r="C245" s="149">
        <v>140</v>
      </c>
      <c r="D245" s="425">
        <v>124.7</v>
      </c>
      <c r="E245" s="425"/>
      <c r="F245" s="586">
        <f>C245*D245</f>
        <v>17458</v>
      </c>
      <c r="G245" s="586"/>
    </row>
    <row r="246" spans="1:7" ht="16.2" customHeight="1" x14ac:dyDescent="0.3">
      <c r="A246" s="587" t="s">
        <v>371</v>
      </c>
      <c r="B246" s="587"/>
      <c r="C246" s="150">
        <v>50</v>
      </c>
      <c r="D246" s="461">
        <v>950.06</v>
      </c>
      <c r="E246" s="461"/>
      <c r="F246" s="460">
        <f>C246*D246</f>
        <v>47503</v>
      </c>
      <c r="G246" s="460"/>
    </row>
    <row r="247" spans="1:7" ht="16.2" customHeight="1" x14ac:dyDescent="0.3">
      <c r="A247" s="587" t="s">
        <v>373</v>
      </c>
      <c r="B247" s="587"/>
      <c r="C247" s="150">
        <v>950</v>
      </c>
      <c r="D247" s="461">
        <v>161.30000000000001</v>
      </c>
      <c r="E247" s="461"/>
      <c r="F247" s="460">
        <f>C247*D247</f>
        <v>153235</v>
      </c>
      <c r="G247" s="460"/>
    </row>
    <row r="248" spans="1:7" ht="16.2" customHeight="1" x14ac:dyDescent="0.3">
      <c r="A248" s="444" t="s">
        <v>372</v>
      </c>
      <c r="B248" s="444"/>
      <c r="C248" s="150">
        <v>200</v>
      </c>
      <c r="D248" s="461">
        <v>450</v>
      </c>
      <c r="E248" s="461"/>
      <c r="F248" s="460">
        <f>C248*D248</f>
        <v>90000</v>
      </c>
      <c r="G248" s="460"/>
    </row>
    <row r="249" spans="1:7" ht="16.2" customHeight="1" x14ac:dyDescent="0.3">
      <c r="A249" s="412" t="s">
        <v>241</v>
      </c>
      <c r="B249" s="413"/>
      <c r="C249" s="167"/>
      <c r="D249" s="559"/>
      <c r="E249" s="560"/>
      <c r="F249" s="561">
        <f>'гос.задание на 2023-2024 год '!D98</f>
        <v>391950</v>
      </c>
      <c r="G249" s="562"/>
    </row>
    <row r="250" spans="1:7" ht="16.2" customHeight="1" x14ac:dyDescent="0.3">
      <c r="A250" s="13"/>
      <c r="B250" s="14"/>
      <c r="C250" s="14"/>
      <c r="D250" s="14"/>
      <c r="E250" s="14"/>
      <c r="F250" s="72"/>
      <c r="G250" s="72"/>
    </row>
    <row r="251" spans="1:7" ht="16.2" customHeight="1" x14ac:dyDescent="0.35">
      <c r="A251" s="396" t="s">
        <v>150</v>
      </c>
      <c r="B251" s="396"/>
      <c r="C251" s="400"/>
      <c r="D251" s="400"/>
      <c r="E251" s="8"/>
      <c r="F251" s="400" t="s">
        <v>267</v>
      </c>
      <c r="G251" s="400"/>
    </row>
    <row r="252" spans="1:7" ht="18" x14ac:dyDescent="0.35">
      <c r="A252" s="27"/>
      <c r="B252" s="8"/>
      <c r="C252" s="401" t="s">
        <v>53</v>
      </c>
      <c r="D252" s="401"/>
      <c r="E252" s="8"/>
      <c r="F252" s="401" t="s">
        <v>54</v>
      </c>
      <c r="G252" s="401"/>
    </row>
    <row r="253" spans="1:7" ht="18" x14ac:dyDescent="0.35">
      <c r="A253" s="27"/>
      <c r="B253" s="8"/>
      <c r="C253" s="95"/>
      <c r="D253" s="95"/>
      <c r="E253" s="8"/>
      <c r="F253" s="95"/>
      <c r="G253" s="95"/>
    </row>
    <row r="254" spans="1:7" ht="18" x14ac:dyDescent="0.35">
      <c r="A254" s="396" t="s">
        <v>151</v>
      </c>
      <c r="B254" s="396"/>
      <c r="C254" s="400"/>
      <c r="D254" s="400"/>
      <c r="E254" s="8"/>
      <c r="F254" s="400" t="s">
        <v>464</v>
      </c>
      <c r="G254" s="400"/>
    </row>
    <row r="255" spans="1:7" ht="18" x14ac:dyDescent="0.35">
      <c r="A255" s="27"/>
      <c r="B255" s="8"/>
      <c r="C255" s="401" t="s">
        <v>53</v>
      </c>
      <c r="D255" s="401"/>
      <c r="E255" s="8"/>
      <c r="F255" s="401" t="s">
        <v>54</v>
      </c>
      <c r="G255" s="401"/>
    </row>
    <row r="256" spans="1:7" ht="18" x14ac:dyDescent="0.35">
      <c r="A256" s="27"/>
      <c r="B256" s="8"/>
      <c r="C256" s="95"/>
      <c r="D256" s="95"/>
      <c r="E256" s="8"/>
      <c r="F256" s="95"/>
      <c r="G256" s="95"/>
    </row>
    <row r="257" spans="1:7" ht="18" x14ac:dyDescent="0.35">
      <c r="A257" s="396" t="s">
        <v>152</v>
      </c>
      <c r="B257" s="396"/>
      <c r="C257" s="400"/>
      <c r="D257" s="400"/>
      <c r="E257" s="8"/>
      <c r="F257" s="400" t="s">
        <v>268</v>
      </c>
      <c r="G257" s="400"/>
    </row>
    <row r="258" spans="1:7" ht="18" x14ac:dyDescent="0.35">
      <c r="A258" s="27"/>
      <c r="B258" s="8"/>
      <c r="C258" s="401" t="s">
        <v>53</v>
      </c>
      <c r="D258" s="401"/>
      <c r="E258" s="8"/>
      <c r="F258" s="401" t="s">
        <v>54</v>
      </c>
      <c r="G258" s="401"/>
    </row>
    <row r="259" spans="1:7" ht="18" x14ac:dyDescent="0.35">
      <c r="A259" s="396" t="s">
        <v>433</v>
      </c>
      <c r="B259" s="396"/>
      <c r="C259" s="8"/>
      <c r="D259" s="8"/>
      <c r="E259" s="8"/>
      <c r="F259" s="8"/>
      <c r="G259" s="8"/>
    </row>
    <row r="260" spans="1:7" ht="18" x14ac:dyDescent="0.35">
      <c r="A260" s="396" t="s">
        <v>483</v>
      </c>
      <c r="B260" s="396"/>
      <c r="C260" s="8"/>
      <c r="D260" s="8"/>
      <c r="E260" s="8"/>
      <c r="F260" s="8"/>
      <c r="G260" s="8"/>
    </row>
  </sheetData>
  <mergeCells count="222">
    <mergeCell ref="A249:B249"/>
    <mergeCell ref="A251:B251"/>
    <mergeCell ref="A260:B260"/>
    <mergeCell ref="C255:D255"/>
    <mergeCell ref="F255:G255"/>
    <mergeCell ref="C257:D257"/>
    <mergeCell ref="F257:G257"/>
    <mergeCell ref="C258:D258"/>
    <mergeCell ref="F258:G258"/>
    <mergeCell ref="C251:D251"/>
    <mergeCell ref="F251:G251"/>
    <mergeCell ref="C252:D252"/>
    <mergeCell ref="F252:G252"/>
    <mergeCell ref="C254:D254"/>
    <mergeCell ref="F254:G254"/>
    <mergeCell ref="A254:B254"/>
    <mergeCell ref="A259:B259"/>
    <mergeCell ref="A257:B257"/>
    <mergeCell ref="A238:G238"/>
    <mergeCell ref="D242:E242"/>
    <mergeCell ref="F242:G242"/>
    <mergeCell ref="D243:E243"/>
    <mergeCell ref="F243:G243"/>
    <mergeCell ref="D248:E248"/>
    <mergeCell ref="F248:G248"/>
    <mergeCell ref="D249:E249"/>
    <mergeCell ref="F249:G249"/>
    <mergeCell ref="A242:B242"/>
    <mergeCell ref="A243:B243"/>
    <mergeCell ref="D246:E246"/>
    <mergeCell ref="F246:G246"/>
    <mergeCell ref="D247:E247"/>
    <mergeCell ref="F247:G247"/>
    <mergeCell ref="D244:E244"/>
    <mergeCell ref="F244:G244"/>
    <mergeCell ref="D245:E245"/>
    <mergeCell ref="F245:G245"/>
    <mergeCell ref="A244:B244"/>
    <mergeCell ref="A245:B245"/>
    <mergeCell ref="A246:B246"/>
    <mergeCell ref="A247:B247"/>
    <mergeCell ref="A248:B248"/>
    <mergeCell ref="F227:G227"/>
    <mergeCell ref="A230:G230"/>
    <mergeCell ref="A234:B234"/>
    <mergeCell ref="C234:D234"/>
    <mergeCell ref="E234:G234"/>
    <mergeCell ref="A235:B235"/>
    <mergeCell ref="C235:D235"/>
    <mergeCell ref="E235:G235"/>
    <mergeCell ref="A236:B236"/>
    <mergeCell ref="C236:D236"/>
    <mergeCell ref="E236:G236"/>
    <mergeCell ref="A223:C223"/>
    <mergeCell ref="D223:E223"/>
    <mergeCell ref="F223:G223"/>
    <mergeCell ref="A224:C224"/>
    <mergeCell ref="D224:E224"/>
    <mergeCell ref="F224:G224"/>
    <mergeCell ref="A217:G217"/>
    <mergeCell ref="A228:C228"/>
    <mergeCell ref="D228:E228"/>
    <mergeCell ref="F228:G228"/>
    <mergeCell ref="A221:C221"/>
    <mergeCell ref="D221:E221"/>
    <mergeCell ref="F221:G221"/>
    <mergeCell ref="A222:C222"/>
    <mergeCell ref="D222:E222"/>
    <mergeCell ref="F222:G222"/>
    <mergeCell ref="A225:C225"/>
    <mergeCell ref="D225:E225"/>
    <mergeCell ref="F225:G225"/>
    <mergeCell ref="A226:C226"/>
    <mergeCell ref="D226:E226"/>
    <mergeCell ref="F226:G226"/>
    <mergeCell ref="A227:C227"/>
    <mergeCell ref="D227:E227"/>
    <mergeCell ref="F215:G215"/>
    <mergeCell ref="F212:G212"/>
    <mergeCell ref="F209:G209"/>
    <mergeCell ref="F213:G213"/>
    <mergeCell ref="F214:G214"/>
    <mergeCell ref="A211:D211"/>
    <mergeCell ref="A210:D210"/>
    <mergeCell ref="A209:D209"/>
    <mergeCell ref="A212:D212"/>
    <mergeCell ref="A213:D213"/>
    <mergeCell ref="A214:D214"/>
    <mergeCell ref="A215:D215"/>
    <mergeCell ref="D197:E197"/>
    <mergeCell ref="F197:G197"/>
    <mergeCell ref="A197:B197"/>
    <mergeCell ref="A198:B198"/>
    <mergeCell ref="F211:G211"/>
    <mergeCell ref="A205:G205"/>
    <mergeCell ref="F210:G210"/>
    <mergeCell ref="A199:B199"/>
    <mergeCell ref="D199:E199"/>
    <mergeCell ref="F199:G199"/>
    <mergeCell ref="A195:B195"/>
    <mergeCell ref="A196:B196"/>
    <mergeCell ref="A183:G183"/>
    <mergeCell ref="D195:E195"/>
    <mergeCell ref="F195:G195"/>
    <mergeCell ref="D196:E196"/>
    <mergeCell ref="F196:G196"/>
    <mergeCell ref="D198:E198"/>
    <mergeCell ref="F198:G198"/>
    <mergeCell ref="A190:B190"/>
    <mergeCell ref="D190:E190"/>
    <mergeCell ref="F190:G190"/>
    <mergeCell ref="A191:B191"/>
    <mergeCell ref="D191:E191"/>
    <mergeCell ref="F191:G191"/>
    <mergeCell ref="A187:B187"/>
    <mergeCell ref="D187:E187"/>
    <mergeCell ref="F187:G187"/>
    <mergeCell ref="A188:B188"/>
    <mergeCell ref="D188:E188"/>
    <mergeCell ref="F188:G188"/>
    <mergeCell ref="A189:B189"/>
    <mergeCell ref="D189:E189"/>
    <mergeCell ref="F189:G189"/>
    <mergeCell ref="A171:G171"/>
    <mergeCell ref="D177:E177"/>
    <mergeCell ref="F177:G177"/>
    <mergeCell ref="D181:E181"/>
    <mergeCell ref="F181:G181"/>
    <mergeCell ref="A172:G172"/>
    <mergeCell ref="D176:E176"/>
    <mergeCell ref="F176:G176"/>
    <mergeCell ref="D179:E179"/>
    <mergeCell ref="F179:G179"/>
    <mergeCell ref="D180:E180"/>
    <mergeCell ref="F180:G180"/>
    <mergeCell ref="D178:E178"/>
    <mergeCell ref="F178:G178"/>
    <mergeCell ref="A181:B181"/>
    <mergeCell ref="A176:B176"/>
    <mergeCell ref="A177:B177"/>
    <mergeCell ref="A178:B178"/>
    <mergeCell ref="A179:B179"/>
    <mergeCell ref="A180:B180"/>
    <mergeCell ref="B169:C169"/>
    <mergeCell ref="D169:E169"/>
    <mergeCell ref="F169:G169"/>
    <mergeCell ref="B167:C167"/>
    <mergeCell ref="D167:E167"/>
    <mergeCell ref="F167:G167"/>
    <mergeCell ref="B168:C168"/>
    <mergeCell ref="D168:E168"/>
    <mergeCell ref="F168:G168"/>
    <mergeCell ref="A129:G129"/>
    <mergeCell ref="C133:D133"/>
    <mergeCell ref="F133:G133"/>
    <mergeCell ref="A161:A162"/>
    <mergeCell ref="B159:C159"/>
    <mergeCell ref="D159:E159"/>
    <mergeCell ref="F159:G159"/>
    <mergeCell ref="B126:C126"/>
    <mergeCell ref="D126:E126"/>
    <mergeCell ref="F126:G126"/>
    <mergeCell ref="B127:C127"/>
    <mergeCell ref="D127:E127"/>
    <mergeCell ref="F127:G127"/>
    <mergeCell ref="B143:C143"/>
    <mergeCell ref="D143:E143"/>
    <mergeCell ref="F143:G143"/>
    <mergeCell ref="F158:G158"/>
    <mergeCell ref="C134:D134"/>
    <mergeCell ref="F134:G134"/>
    <mergeCell ref="C135:D135"/>
    <mergeCell ref="F135:G135"/>
    <mergeCell ref="F141:G141"/>
    <mergeCell ref="B142:C142"/>
    <mergeCell ref="D142:E142"/>
    <mergeCell ref="D11:E11"/>
    <mergeCell ref="F11:G11"/>
    <mergeCell ref="A10:B10"/>
    <mergeCell ref="A11:B11"/>
    <mergeCell ref="D20:F20"/>
    <mergeCell ref="A120:G120"/>
    <mergeCell ref="A124:A125"/>
    <mergeCell ref="B124:C125"/>
    <mergeCell ref="D124:E125"/>
    <mergeCell ref="F124:G125"/>
    <mergeCell ref="A13:G13"/>
    <mergeCell ref="A15:G15"/>
    <mergeCell ref="A19:A21"/>
    <mergeCell ref="B19:B21"/>
    <mergeCell ref="C19:F19"/>
    <mergeCell ref="G19:G21"/>
    <mergeCell ref="C20:C21"/>
    <mergeCell ref="C117:F117"/>
    <mergeCell ref="A1:G1"/>
    <mergeCell ref="A2:G2"/>
    <mergeCell ref="A3:G3"/>
    <mergeCell ref="A5:G5"/>
    <mergeCell ref="D9:E9"/>
    <mergeCell ref="F9:G9"/>
    <mergeCell ref="A9:B9"/>
    <mergeCell ref="D10:E10"/>
    <mergeCell ref="F10:G10"/>
    <mergeCell ref="F142:G142"/>
    <mergeCell ref="A137:G137"/>
    <mergeCell ref="B141:C141"/>
    <mergeCell ref="D141:E141"/>
    <mergeCell ref="B163:C163"/>
    <mergeCell ref="D163:E163"/>
    <mergeCell ref="B162:C162"/>
    <mergeCell ref="D162:E162"/>
    <mergeCell ref="F162:G162"/>
    <mergeCell ref="A154:G154"/>
    <mergeCell ref="B158:C158"/>
    <mergeCell ref="D158:E158"/>
    <mergeCell ref="F163:G163"/>
    <mergeCell ref="B160:C160"/>
    <mergeCell ref="D160:E160"/>
    <mergeCell ref="F160:G160"/>
    <mergeCell ref="B161:C161"/>
    <mergeCell ref="D161:E161"/>
    <mergeCell ref="F161:G161"/>
  </mergeCells>
  <pageMargins left="1.3779527559055118" right="0.39370078740157483" top="0.59055118110236227" bottom="0.59055118110236227" header="0.31496062992125984" footer="0.31496062992125984"/>
  <pageSetup paperSize="9" scale="6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257"/>
  <sheetViews>
    <sheetView showWhiteSpace="0" view="pageLayout" topLeftCell="A97" zoomScaleNormal="85" workbookViewId="0">
      <selection activeCell="D256" sqref="D256"/>
    </sheetView>
  </sheetViews>
  <sheetFormatPr defaultColWidth="8.88671875" defaultRowHeight="14.4" x14ac:dyDescent="0.3"/>
  <cols>
    <col min="1" max="1" width="24" style="5" customWidth="1"/>
    <col min="2" max="2" width="15.33203125" style="5" customWidth="1"/>
    <col min="3" max="3" width="17.5546875" style="5" customWidth="1"/>
    <col min="4" max="6" width="16.44140625" style="5" customWidth="1"/>
    <col min="7" max="7" width="16.33203125" style="5" customWidth="1"/>
    <col min="8" max="8" width="12" style="5" bestFit="1" customWidth="1"/>
    <col min="9" max="16384" width="8.88671875" style="5"/>
  </cols>
  <sheetData>
    <row r="1" spans="1:7" ht="40.200000000000003" customHeight="1" x14ac:dyDescent="0.3">
      <c r="A1" s="432" t="s">
        <v>475</v>
      </c>
      <c r="B1" s="432"/>
      <c r="C1" s="432"/>
      <c r="D1" s="432"/>
      <c r="E1" s="432"/>
      <c r="F1" s="432"/>
      <c r="G1" s="432"/>
    </row>
    <row r="2" spans="1:7" ht="35.4" customHeight="1" x14ac:dyDescent="0.3">
      <c r="A2" s="432" t="s">
        <v>476</v>
      </c>
      <c r="B2" s="432"/>
      <c r="C2" s="432"/>
      <c r="D2" s="432"/>
      <c r="E2" s="432"/>
      <c r="F2" s="432"/>
      <c r="G2" s="432"/>
    </row>
    <row r="3" spans="1:7" ht="35.4" customHeight="1" x14ac:dyDescent="0.3">
      <c r="A3" s="432" t="s">
        <v>167</v>
      </c>
      <c r="B3" s="432"/>
      <c r="C3" s="432"/>
      <c r="D3" s="432"/>
      <c r="E3" s="432"/>
      <c r="F3" s="432"/>
      <c r="G3" s="432"/>
    </row>
    <row r="4" spans="1:7" ht="42" customHeight="1" x14ac:dyDescent="0.3">
      <c r="A4" s="432" t="s">
        <v>173</v>
      </c>
      <c r="B4" s="432"/>
      <c r="C4" s="432"/>
      <c r="D4" s="432"/>
      <c r="E4" s="432"/>
      <c r="F4" s="432"/>
      <c r="G4" s="432"/>
    </row>
    <row r="5" spans="1:7" ht="18.75" customHeight="1" x14ac:dyDescent="0.3">
      <c r="A5" s="99"/>
      <c r="B5" s="99"/>
      <c r="C5" s="99"/>
      <c r="D5" s="99"/>
      <c r="E5" s="99"/>
      <c r="F5" s="99"/>
      <c r="G5" s="99"/>
    </row>
    <row r="6" spans="1:7" ht="18" x14ac:dyDescent="0.35">
      <c r="A6" s="7" t="s">
        <v>144</v>
      </c>
      <c r="B6" s="8">
        <v>130</v>
      </c>
    </row>
    <row r="7" spans="1:7" ht="15" x14ac:dyDescent="0.3">
      <c r="A7" s="9"/>
    </row>
    <row r="8" spans="1:7" ht="78" customHeight="1" x14ac:dyDescent="0.3">
      <c r="A8" s="408" t="s">
        <v>85</v>
      </c>
      <c r="B8" s="410"/>
      <c r="C8" s="115" t="s">
        <v>171</v>
      </c>
      <c r="D8" s="416" t="s">
        <v>172</v>
      </c>
      <c r="E8" s="416"/>
      <c r="F8" s="416" t="s">
        <v>170</v>
      </c>
      <c r="G8" s="416"/>
    </row>
    <row r="9" spans="1:7" ht="18" x14ac:dyDescent="0.3">
      <c r="A9" s="408">
        <v>1</v>
      </c>
      <c r="B9" s="410"/>
      <c r="C9" s="115">
        <v>2</v>
      </c>
      <c r="D9" s="416">
        <v>3</v>
      </c>
      <c r="E9" s="416"/>
      <c r="F9" s="416">
        <v>4</v>
      </c>
      <c r="G9" s="416"/>
    </row>
    <row r="10" spans="1:7" ht="62.25" customHeight="1" x14ac:dyDescent="0.3">
      <c r="A10" s="412" t="s">
        <v>169</v>
      </c>
      <c r="B10" s="414"/>
      <c r="C10" s="115" t="s">
        <v>116</v>
      </c>
      <c r="D10" s="416" t="s">
        <v>116</v>
      </c>
      <c r="E10" s="416"/>
      <c r="F10" s="417">
        <f>'гос.задание на 2023-2024 год '!G14</f>
        <v>103088521.76000001</v>
      </c>
      <c r="G10" s="417"/>
    </row>
    <row r="11" spans="1:7" ht="17.399999999999999" x14ac:dyDescent="0.3">
      <c r="A11" s="96"/>
    </row>
    <row r="12" spans="1:7" ht="33" customHeight="1" x14ac:dyDescent="0.3">
      <c r="A12" s="432" t="s">
        <v>477</v>
      </c>
      <c r="B12" s="432"/>
      <c r="C12" s="432"/>
      <c r="D12" s="432"/>
      <c r="E12" s="432"/>
      <c r="F12" s="432"/>
      <c r="G12" s="432"/>
    </row>
    <row r="13" spans="1:7" ht="17.399999999999999" x14ac:dyDescent="0.3">
      <c r="A13" s="6"/>
    </row>
    <row r="14" spans="1:7" ht="17.399999999999999" x14ac:dyDescent="0.3">
      <c r="A14" s="415" t="s">
        <v>188</v>
      </c>
      <c r="B14" s="415"/>
      <c r="C14" s="415"/>
      <c r="D14" s="415"/>
      <c r="E14" s="415"/>
      <c r="F14" s="415"/>
      <c r="G14" s="415"/>
    </row>
    <row r="15" spans="1:7" ht="18" x14ac:dyDescent="0.3">
      <c r="A15" s="7"/>
    </row>
    <row r="16" spans="1:7" ht="18" x14ac:dyDescent="0.35">
      <c r="A16" s="7" t="s">
        <v>144</v>
      </c>
      <c r="B16" s="8">
        <v>111</v>
      </c>
    </row>
    <row r="17" spans="1:7" ht="15" x14ac:dyDescent="0.3">
      <c r="A17" s="9"/>
    </row>
    <row r="18" spans="1:7" ht="48.6" customHeight="1" x14ac:dyDescent="0.3">
      <c r="A18" s="416" t="s">
        <v>75</v>
      </c>
      <c r="B18" s="513" t="s">
        <v>76</v>
      </c>
      <c r="C18" s="416" t="s">
        <v>77</v>
      </c>
      <c r="D18" s="416"/>
      <c r="E18" s="416"/>
      <c r="F18" s="416"/>
      <c r="G18" s="416" t="s">
        <v>78</v>
      </c>
    </row>
    <row r="19" spans="1:7" ht="18" x14ac:dyDescent="0.3">
      <c r="A19" s="416"/>
      <c r="B19" s="513"/>
      <c r="C19" s="416" t="s">
        <v>79</v>
      </c>
      <c r="D19" s="416" t="s">
        <v>6</v>
      </c>
      <c r="E19" s="416"/>
      <c r="F19" s="416"/>
      <c r="G19" s="416"/>
    </row>
    <row r="20" spans="1:7" ht="72" x14ac:dyDescent="0.3">
      <c r="A20" s="416"/>
      <c r="B20" s="513"/>
      <c r="C20" s="416"/>
      <c r="D20" s="10" t="s">
        <v>80</v>
      </c>
      <c r="E20" s="10" t="s">
        <v>81</v>
      </c>
      <c r="F20" s="10" t="s">
        <v>82</v>
      </c>
      <c r="G20" s="416"/>
    </row>
    <row r="21" spans="1:7" ht="18" x14ac:dyDescent="0.3">
      <c r="A21" s="97">
        <v>1</v>
      </c>
      <c r="B21" s="97">
        <v>2</v>
      </c>
      <c r="C21" s="97">
        <v>3</v>
      </c>
      <c r="D21" s="97">
        <v>4</v>
      </c>
      <c r="E21" s="97">
        <v>4</v>
      </c>
      <c r="F21" s="97">
        <v>5</v>
      </c>
      <c r="G21" s="97">
        <v>7</v>
      </c>
    </row>
    <row r="22" spans="1:7" x14ac:dyDescent="0.3">
      <c r="A22" s="119" t="s">
        <v>269</v>
      </c>
      <c r="B22" s="120">
        <v>1</v>
      </c>
      <c r="C22" s="296">
        <f t="shared" ref="C22:C42" si="0">SUM(D22:F22)</f>
        <v>61195.58</v>
      </c>
      <c r="D22" s="122">
        <v>17440</v>
      </c>
      <c r="E22" s="296"/>
      <c r="F22" s="296">
        <v>43755.58</v>
      </c>
      <c r="G22" s="296">
        <f t="shared" ref="G22:G85" si="1">C22*B22*12</f>
        <v>734346.96</v>
      </c>
    </row>
    <row r="23" spans="1:7" x14ac:dyDescent="0.3">
      <c r="A23" s="123" t="s">
        <v>270</v>
      </c>
      <c r="B23" s="120">
        <v>2</v>
      </c>
      <c r="C23" s="296">
        <f t="shared" si="0"/>
        <v>51402.25</v>
      </c>
      <c r="D23" s="122">
        <v>15700</v>
      </c>
      <c r="E23" s="296"/>
      <c r="F23" s="296">
        <v>35702.25</v>
      </c>
      <c r="G23" s="296">
        <f t="shared" si="1"/>
        <v>1233654</v>
      </c>
    </row>
    <row r="24" spans="1:7" ht="17.25" customHeight="1" x14ac:dyDescent="0.3">
      <c r="A24" s="119" t="s">
        <v>271</v>
      </c>
      <c r="B24" s="120">
        <v>1</v>
      </c>
      <c r="C24" s="296">
        <f t="shared" si="0"/>
        <v>43264.959999999999</v>
      </c>
      <c r="D24" s="122">
        <v>14940</v>
      </c>
      <c r="E24" s="124"/>
      <c r="F24" s="296">
        <v>28324.959999999999</v>
      </c>
      <c r="G24" s="296">
        <f t="shared" si="1"/>
        <v>519179.52000000002</v>
      </c>
    </row>
    <row r="25" spans="1:7" x14ac:dyDescent="0.3">
      <c r="A25" s="119" t="s">
        <v>272</v>
      </c>
      <c r="B25" s="120">
        <v>1</v>
      </c>
      <c r="C25" s="296">
        <f t="shared" si="0"/>
        <v>46075.64</v>
      </c>
      <c r="D25" s="122">
        <v>15700</v>
      </c>
      <c r="E25" s="296"/>
      <c r="F25" s="296">
        <v>30375.64</v>
      </c>
      <c r="G25" s="296">
        <f t="shared" si="1"/>
        <v>552907.67999999993</v>
      </c>
    </row>
    <row r="26" spans="1:7" ht="26.4" x14ac:dyDescent="0.3">
      <c r="A26" s="119" t="s">
        <v>273</v>
      </c>
      <c r="B26" s="120">
        <v>2</v>
      </c>
      <c r="C26" s="296">
        <f t="shared" si="0"/>
        <v>42739.240000000005</v>
      </c>
      <c r="D26" s="122">
        <v>14130</v>
      </c>
      <c r="E26" s="296"/>
      <c r="F26" s="296">
        <v>28609.24</v>
      </c>
      <c r="G26" s="296">
        <f t="shared" si="1"/>
        <v>1025741.7600000001</v>
      </c>
    </row>
    <row r="27" spans="1:7" x14ac:dyDescent="0.3">
      <c r="A27" s="119" t="s">
        <v>274</v>
      </c>
      <c r="B27" s="120">
        <v>3</v>
      </c>
      <c r="C27" s="296">
        <f t="shared" si="0"/>
        <v>25044.98</v>
      </c>
      <c r="D27" s="122">
        <v>13360</v>
      </c>
      <c r="E27" s="296"/>
      <c r="F27" s="296">
        <v>11684.98</v>
      </c>
      <c r="G27" s="296">
        <f t="shared" si="1"/>
        <v>901619.28</v>
      </c>
    </row>
    <row r="28" spans="1:7" x14ac:dyDescent="0.3">
      <c r="A28" s="119" t="s">
        <v>275</v>
      </c>
      <c r="B28" s="120">
        <v>1</v>
      </c>
      <c r="C28" s="296">
        <f t="shared" si="0"/>
        <v>23188.43</v>
      </c>
      <c r="D28" s="122">
        <v>12210</v>
      </c>
      <c r="E28" s="124"/>
      <c r="F28" s="296">
        <v>10978.43</v>
      </c>
      <c r="G28" s="296">
        <f t="shared" si="1"/>
        <v>278261.16000000003</v>
      </c>
    </row>
    <row r="29" spans="1:7" x14ac:dyDescent="0.3">
      <c r="A29" s="119" t="s">
        <v>276</v>
      </c>
      <c r="B29" s="120">
        <v>0.5</v>
      </c>
      <c r="C29" s="296">
        <f t="shared" si="0"/>
        <v>11724.21</v>
      </c>
      <c r="D29" s="122">
        <v>10770</v>
      </c>
      <c r="E29" s="296"/>
      <c r="F29" s="296">
        <v>954.21</v>
      </c>
      <c r="G29" s="296">
        <f t="shared" si="1"/>
        <v>70345.259999999995</v>
      </c>
    </row>
    <row r="30" spans="1:7" x14ac:dyDescent="0.3">
      <c r="A30" s="119" t="s">
        <v>277</v>
      </c>
      <c r="B30" s="120">
        <v>1</v>
      </c>
      <c r="C30" s="296">
        <f t="shared" si="0"/>
        <v>45334.559999999998</v>
      </c>
      <c r="D30" s="122">
        <v>15350</v>
      </c>
      <c r="E30" s="296"/>
      <c r="F30" s="296">
        <v>29984.560000000001</v>
      </c>
      <c r="G30" s="296">
        <f t="shared" si="1"/>
        <v>544014.72</v>
      </c>
    </row>
    <row r="31" spans="1:7" x14ac:dyDescent="0.3">
      <c r="A31" s="119" t="s">
        <v>278</v>
      </c>
      <c r="B31" s="120">
        <v>1</v>
      </c>
      <c r="C31" s="296">
        <f t="shared" si="0"/>
        <v>14779.35</v>
      </c>
      <c r="D31" s="122">
        <v>12210</v>
      </c>
      <c r="E31" s="296"/>
      <c r="F31" s="296">
        <v>2569.35</v>
      </c>
      <c r="G31" s="296">
        <f t="shared" si="1"/>
        <v>177352.2</v>
      </c>
    </row>
    <row r="32" spans="1:7" x14ac:dyDescent="0.3">
      <c r="A32" s="119" t="s">
        <v>279</v>
      </c>
      <c r="B32" s="120">
        <v>1</v>
      </c>
      <c r="C32" s="296">
        <f t="shared" si="0"/>
        <v>23883.690000000002</v>
      </c>
      <c r="D32" s="122">
        <v>13360</v>
      </c>
      <c r="E32" s="296"/>
      <c r="F32" s="296">
        <v>10523.69</v>
      </c>
      <c r="G32" s="296">
        <f t="shared" si="1"/>
        <v>286604.28000000003</v>
      </c>
    </row>
    <row r="33" spans="1:7" ht="26.25" customHeight="1" x14ac:dyDescent="0.3">
      <c r="A33" s="119" t="s">
        <v>280</v>
      </c>
      <c r="B33" s="120">
        <v>1</v>
      </c>
      <c r="C33" s="296">
        <f t="shared" si="0"/>
        <v>22828.690000000002</v>
      </c>
      <c r="D33" s="122">
        <v>12500</v>
      </c>
      <c r="E33" s="296"/>
      <c r="F33" s="296">
        <v>10328.69</v>
      </c>
      <c r="G33" s="296">
        <f t="shared" si="1"/>
        <v>273944.28000000003</v>
      </c>
    </row>
    <row r="34" spans="1:7" x14ac:dyDescent="0.3">
      <c r="A34" s="119" t="s">
        <v>281</v>
      </c>
      <c r="B34" s="120">
        <v>1</v>
      </c>
      <c r="C34" s="296">
        <f t="shared" si="0"/>
        <v>23155.85</v>
      </c>
      <c r="D34" s="122">
        <v>12210</v>
      </c>
      <c r="E34" s="296"/>
      <c r="F34" s="296">
        <v>10945.85</v>
      </c>
      <c r="G34" s="296">
        <f t="shared" si="1"/>
        <v>277870.19999999995</v>
      </c>
    </row>
    <row r="35" spans="1:7" ht="17.25" customHeight="1" x14ac:dyDescent="0.3">
      <c r="A35" s="119" t="s">
        <v>282</v>
      </c>
      <c r="B35" s="120">
        <v>1</v>
      </c>
      <c r="C35" s="296">
        <f t="shared" si="0"/>
        <v>22755.85</v>
      </c>
      <c r="D35" s="122">
        <v>12210</v>
      </c>
      <c r="E35" s="296"/>
      <c r="F35" s="296">
        <v>10545.85</v>
      </c>
      <c r="G35" s="296">
        <f t="shared" si="1"/>
        <v>273070.19999999995</v>
      </c>
    </row>
    <row r="36" spans="1:7" ht="39" customHeight="1" x14ac:dyDescent="0.3">
      <c r="A36" s="119" t="s">
        <v>283</v>
      </c>
      <c r="B36" s="120">
        <v>1</v>
      </c>
      <c r="C36" s="296">
        <f t="shared" si="0"/>
        <v>23155.85</v>
      </c>
      <c r="D36" s="122">
        <v>12210</v>
      </c>
      <c r="E36" s="124"/>
      <c r="F36" s="296">
        <v>10945.85</v>
      </c>
      <c r="G36" s="296">
        <f t="shared" si="1"/>
        <v>277870.19999999995</v>
      </c>
    </row>
    <row r="37" spans="1:7" x14ac:dyDescent="0.3">
      <c r="A37" s="119" t="s">
        <v>284</v>
      </c>
      <c r="B37" s="120">
        <v>1</v>
      </c>
      <c r="C37" s="296">
        <f t="shared" si="0"/>
        <v>25924.47</v>
      </c>
      <c r="D37" s="122">
        <v>13360</v>
      </c>
      <c r="E37" s="124"/>
      <c r="F37" s="296">
        <v>12564.47</v>
      </c>
      <c r="G37" s="296">
        <f t="shared" si="1"/>
        <v>311093.64</v>
      </c>
    </row>
    <row r="38" spans="1:7" x14ac:dyDescent="0.3">
      <c r="A38" s="119" t="s">
        <v>285</v>
      </c>
      <c r="B38" s="120">
        <v>1</v>
      </c>
      <c r="C38" s="296">
        <f t="shared" si="0"/>
        <v>24322.39</v>
      </c>
      <c r="D38" s="122">
        <v>12760</v>
      </c>
      <c r="E38" s="296"/>
      <c r="F38" s="296">
        <v>11562.39</v>
      </c>
      <c r="G38" s="296">
        <f t="shared" si="1"/>
        <v>291868.68</v>
      </c>
    </row>
    <row r="39" spans="1:7" x14ac:dyDescent="0.3">
      <c r="A39" s="119" t="s">
        <v>286</v>
      </c>
      <c r="B39" s="120">
        <v>1</v>
      </c>
      <c r="C39" s="296">
        <f t="shared" si="0"/>
        <v>44026.25</v>
      </c>
      <c r="D39" s="122">
        <v>15070</v>
      </c>
      <c r="E39" s="124"/>
      <c r="F39" s="296">
        <v>28956.25</v>
      </c>
      <c r="G39" s="296">
        <f t="shared" si="1"/>
        <v>528315</v>
      </c>
    </row>
    <row r="40" spans="1:7" ht="17.25" customHeight="1" x14ac:dyDescent="0.3">
      <c r="A40" s="119" t="s">
        <v>287</v>
      </c>
      <c r="B40" s="120">
        <v>1</v>
      </c>
      <c r="C40" s="296">
        <f t="shared" si="0"/>
        <v>23723.599999999999</v>
      </c>
      <c r="D40" s="122">
        <v>12760</v>
      </c>
      <c r="E40" s="124"/>
      <c r="F40" s="296">
        <v>10963.6</v>
      </c>
      <c r="G40" s="296">
        <f t="shared" si="1"/>
        <v>284683.19999999995</v>
      </c>
    </row>
    <row r="41" spans="1:7" x14ac:dyDescent="0.3">
      <c r="A41" s="119" t="s">
        <v>288</v>
      </c>
      <c r="B41" s="120">
        <v>1</v>
      </c>
      <c r="C41" s="296">
        <f t="shared" si="0"/>
        <v>23613.690000000002</v>
      </c>
      <c r="D41" s="122">
        <v>12760</v>
      </c>
      <c r="E41" s="124"/>
      <c r="F41" s="296">
        <v>10853.69</v>
      </c>
      <c r="G41" s="296">
        <f t="shared" si="1"/>
        <v>283364.28000000003</v>
      </c>
    </row>
    <row r="42" spans="1:7" x14ac:dyDescent="0.3">
      <c r="A42" s="119" t="s">
        <v>289</v>
      </c>
      <c r="B42" s="120">
        <v>1</v>
      </c>
      <c r="C42" s="296">
        <f t="shared" si="0"/>
        <v>13746.37</v>
      </c>
      <c r="D42" s="122">
        <v>12760</v>
      </c>
      <c r="E42" s="296"/>
      <c r="F42" s="296">
        <v>986.37</v>
      </c>
      <c r="G42" s="296">
        <f t="shared" si="1"/>
        <v>164956.44</v>
      </c>
    </row>
    <row r="43" spans="1:7" ht="15" customHeight="1" x14ac:dyDescent="0.3">
      <c r="A43" s="119" t="s">
        <v>290</v>
      </c>
      <c r="B43" s="120">
        <v>1</v>
      </c>
      <c r="C43" s="296">
        <f>SUM(D43:F43)</f>
        <v>22994.89</v>
      </c>
      <c r="D43" s="122">
        <v>12760</v>
      </c>
      <c r="E43" s="296"/>
      <c r="F43" s="296">
        <v>10234.89</v>
      </c>
      <c r="G43" s="296">
        <f t="shared" si="1"/>
        <v>275938.68</v>
      </c>
    </row>
    <row r="44" spans="1:7" x14ac:dyDescent="0.3">
      <c r="A44" s="119" t="s">
        <v>291</v>
      </c>
      <c r="B44" s="120">
        <v>1</v>
      </c>
      <c r="C44" s="296">
        <f t="shared" ref="C44:C87" si="2">SUM(D44:F44)</f>
        <v>13322.35</v>
      </c>
      <c r="D44" s="122">
        <v>12760</v>
      </c>
      <c r="E44" s="296"/>
      <c r="F44" s="296">
        <v>562.35</v>
      </c>
      <c r="G44" s="296">
        <f>C44*B44*12</f>
        <v>159868.20000000001</v>
      </c>
    </row>
    <row r="45" spans="1:7" x14ac:dyDescent="0.3">
      <c r="A45" s="119" t="s">
        <v>292</v>
      </c>
      <c r="B45" s="120">
        <v>1</v>
      </c>
      <c r="C45" s="296">
        <f>SUM(D45:F45)</f>
        <v>15500</v>
      </c>
      <c r="D45" s="122">
        <v>15500</v>
      </c>
      <c r="E45" s="296"/>
      <c r="F45" s="296"/>
      <c r="G45" s="296">
        <f>C45*B45*12</f>
        <v>186000</v>
      </c>
    </row>
    <row r="46" spans="1:7" x14ac:dyDescent="0.3">
      <c r="A46" s="119" t="s">
        <v>293</v>
      </c>
      <c r="B46" s="120">
        <v>1</v>
      </c>
      <c r="C46" s="296">
        <f>SUM(D46:F46)</f>
        <v>48736.78</v>
      </c>
      <c r="D46" s="125">
        <v>15500</v>
      </c>
      <c r="E46" s="296"/>
      <c r="F46" s="296">
        <v>33236.78</v>
      </c>
      <c r="G46" s="296">
        <f>B46*C46*12</f>
        <v>584841.36</v>
      </c>
    </row>
    <row r="47" spans="1:7" ht="18" customHeight="1" x14ac:dyDescent="0.3">
      <c r="A47" s="119" t="s">
        <v>294</v>
      </c>
      <c r="B47" s="120">
        <v>1</v>
      </c>
      <c r="C47" s="296">
        <f>SUM(D47:F47)</f>
        <v>15500</v>
      </c>
      <c r="D47" s="125">
        <v>15500</v>
      </c>
      <c r="E47" s="296"/>
      <c r="F47" s="296"/>
      <c r="G47" s="296">
        <f>B47*C47*12</f>
        <v>186000</v>
      </c>
    </row>
    <row r="48" spans="1:7" x14ac:dyDescent="0.3">
      <c r="A48" s="119" t="s">
        <v>295</v>
      </c>
      <c r="B48" s="120">
        <v>1</v>
      </c>
      <c r="C48" s="296">
        <f>SUM(D48:F48)</f>
        <v>46736.78</v>
      </c>
      <c r="D48" s="125">
        <v>15500</v>
      </c>
      <c r="E48" s="296"/>
      <c r="F48" s="296">
        <v>31236.78</v>
      </c>
      <c r="G48" s="296">
        <f>C48*B48*12</f>
        <v>560841.36</v>
      </c>
    </row>
    <row r="49" spans="1:7" x14ac:dyDescent="0.3">
      <c r="A49" s="119" t="s">
        <v>296</v>
      </c>
      <c r="B49" s="120">
        <v>1</v>
      </c>
      <c r="C49" s="296">
        <f>SUM(D49:F49)</f>
        <v>47736.78</v>
      </c>
      <c r="D49" s="125">
        <v>15500</v>
      </c>
      <c r="E49" s="296"/>
      <c r="F49" s="296">
        <v>32236.78</v>
      </c>
      <c r="G49" s="296">
        <f>B49*C49*12</f>
        <v>572841.36</v>
      </c>
    </row>
    <row r="50" spans="1:7" ht="26.4" x14ac:dyDescent="0.3">
      <c r="A50" s="119" t="s">
        <v>297</v>
      </c>
      <c r="B50" s="126">
        <v>1</v>
      </c>
      <c r="C50" s="296">
        <f t="shared" si="2"/>
        <v>34956.35</v>
      </c>
      <c r="D50" s="125">
        <v>15200</v>
      </c>
      <c r="E50" s="296"/>
      <c r="F50" s="296">
        <v>19756.349999999999</v>
      </c>
      <c r="G50" s="296">
        <f t="shared" si="1"/>
        <v>419476.19999999995</v>
      </c>
    </row>
    <row r="51" spans="1:7" x14ac:dyDescent="0.3">
      <c r="A51" s="119" t="s">
        <v>298</v>
      </c>
      <c r="B51" s="126">
        <v>1</v>
      </c>
      <c r="C51" s="296">
        <f>SUM(D51:F51)</f>
        <v>35956.35</v>
      </c>
      <c r="D51" s="125">
        <v>15200</v>
      </c>
      <c r="E51" s="296"/>
      <c r="F51" s="296">
        <v>20756.349999999999</v>
      </c>
      <c r="G51" s="296">
        <f>C51*B51*12</f>
        <v>431476.19999999995</v>
      </c>
    </row>
    <row r="52" spans="1:7" x14ac:dyDescent="0.3">
      <c r="A52" s="119" t="s">
        <v>299</v>
      </c>
      <c r="B52" s="126">
        <v>1</v>
      </c>
      <c r="C52" s="296">
        <f t="shared" si="2"/>
        <v>45956.35</v>
      </c>
      <c r="D52" s="125">
        <v>15200</v>
      </c>
      <c r="E52" s="296"/>
      <c r="F52" s="296">
        <v>30756.35</v>
      </c>
      <c r="G52" s="296">
        <f t="shared" si="1"/>
        <v>551476.19999999995</v>
      </c>
    </row>
    <row r="53" spans="1:7" ht="26.4" x14ac:dyDescent="0.3">
      <c r="A53" s="119" t="s">
        <v>300</v>
      </c>
      <c r="B53" s="126">
        <v>4</v>
      </c>
      <c r="C53" s="296">
        <f t="shared" si="2"/>
        <v>24616.32</v>
      </c>
      <c r="D53" s="125">
        <v>13360</v>
      </c>
      <c r="E53" s="296"/>
      <c r="F53" s="296">
        <v>11256.32</v>
      </c>
      <c r="G53" s="296">
        <f t="shared" si="1"/>
        <v>1181583.3599999999</v>
      </c>
    </row>
    <row r="54" spans="1:7" ht="26.25" customHeight="1" x14ac:dyDescent="0.3">
      <c r="A54" s="127" t="s">
        <v>301</v>
      </c>
      <c r="B54" s="126">
        <v>1</v>
      </c>
      <c r="C54" s="296">
        <f t="shared" si="2"/>
        <v>25887.510000000002</v>
      </c>
      <c r="D54" s="125">
        <v>13970</v>
      </c>
      <c r="E54" s="296"/>
      <c r="F54" s="296">
        <v>11917.51</v>
      </c>
      <c r="G54" s="296">
        <f t="shared" si="1"/>
        <v>310650.12</v>
      </c>
    </row>
    <row r="55" spans="1:7" ht="25.5" customHeight="1" x14ac:dyDescent="0.3">
      <c r="A55" s="119" t="s">
        <v>302</v>
      </c>
      <c r="B55" s="126">
        <v>1</v>
      </c>
      <c r="C55" s="296">
        <f t="shared" si="2"/>
        <v>28648.2</v>
      </c>
      <c r="D55" s="125">
        <v>12760</v>
      </c>
      <c r="E55" s="296"/>
      <c r="F55" s="296">
        <v>15888.2</v>
      </c>
      <c r="G55" s="296">
        <f t="shared" si="1"/>
        <v>343778.4</v>
      </c>
    </row>
    <row r="56" spans="1:7" x14ac:dyDescent="0.3">
      <c r="A56" s="128" t="s">
        <v>303</v>
      </c>
      <c r="B56" s="129">
        <v>2.5</v>
      </c>
      <c r="C56" s="296">
        <f>SUM(D56:F56)</f>
        <v>22519.53</v>
      </c>
      <c r="D56" s="125">
        <v>12470</v>
      </c>
      <c r="E56" s="129"/>
      <c r="F56" s="296">
        <v>10049.530000000001</v>
      </c>
      <c r="G56" s="296">
        <f t="shared" si="1"/>
        <v>675585.89999999991</v>
      </c>
    </row>
    <row r="57" spans="1:7" x14ac:dyDescent="0.3">
      <c r="A57" s="128" t="s">
        <v>304</v>
      </c>
      <c r="B57" s="129">
        <v>0.5</v>
      </c>
      <c r="C57" s="296">
        <f>SUM(D57:F57)</f>
        <v>22519.52</v>
      </c>
      <c r="D57" s="125">
        <v>12470</v>
      </c>
      <c r="E57" s="129"/>
      <c r="F57" s="296">
        <v>10049.52</v>
      </c>
      <c r="G57" s="296">
        <f t="shared" si="1"/>
        <v>135117.12</v>
      </c>
    </row>
    <row r="58" spans="1:7" x14ac:dyDescent="0.3">
      <c r="A58" s="128" t="s">
        <v>305</v>
      </c>
      <c r="B58" s="129">
        <v>0.5</v>
      </c>
      <c r="C58" s="296">
        <f>SUM(D59:F59)</f>
        <v>22519.52</v>
      </c>
      <c r="D58" s="125">
        <v>12470</v>
      </c>
      <c r="E58" s="129"/>
      <c r="F58" s="296">
        <v>10049.52</v>
      </c>
      <c r="G58" s="296">
        <f t="shared" si="1"/>
        <v>135117.12</v>
      </c>
    </row>
    <row r="59" spans="1:7" x14ac:dyDescent="0.3">
      <c r="A59" s="130" t="s">
        <v>306</v>
      </c>
      <c r="B59" s="126">
        <v>0.5</v>
      </c>
      <c r="C59" s="296">
        <f t="shared" si="2"/>
        <v>22519.52</v>
      </c>
      <c r="D59" s="125">
        <v>12470</v>
      </c>
      <c r="E59" s="296"/>
      <c r="F59" s="296">
        <v>10049.52</v>
      </c>
      <c r="G59" s="296">
        <f t="shared" si="1"/>
        <v>135117.12</v>
      </c>
    </row>
    <row r="60" spans="1:7" x14ac:dyDescent="0.3">
      <c r="A60" s="130" t="s">
        <v>307</v>
      </c>
      <c r="B60" s="126">
        <v>1</v>
      </c>
      <c r="C60" s="296">
        <f>SUM(D60:F60)</f>
        <v>24049.78</v>
      </c>
      <c r="D60" s="125">
        <v>13360</v>
      </c>
      <c r="E60" s="296"/>
      <c r="F60" s="296">
        <v>10689.78</v>
      </c>
      <c r="G60" s="296">
        <f t="shared" si="1"/>
        <v>288597.36</v>
      </c>
    </row>
    <row r="61" spans="1:7" x14ac:dyDescent="0.3">
      <c r="A61" s="130" t="s">
        <v>308</v>
      </c>
      <c r="B61" s="126">
        <v>1</v>
      </c>
      <c r="C61" s="296">
        <f>SUM(D61:F61)</f>
        <v>24049.78</v>
      </c>
      <c r="D61" s="125">
        <v>13360</v>
      </c>
      <c r="E61" s="296"/>
      <c r="F61" s="296">
        <v>10689.78</v>
      </c>
      <c r="G61" s="296">
        <f t="shared" si="1"/>
        <v>288597.36</v>
      </c>
    </row>
    <row r="62" spans="1:7" x14ac:dyDescent="0.3">
      <c r="A62" s="130" t="s">
        <v>382</v>
      </c>
      <c r="B62" s="126">
        <v>1</v>
      </c>
      <c r="C62" s="296">
        <f>SUM(D62:F62)</f>
        <v>24049.78</v>
      </c>
      <c r="D62" s="125">
        <v>13360</v>
      </c>
      <c r="E62" s="296"/>
      <c r="F62" s="296">
        <v>10689.78</v>
      </c>
      <c r="G62" s="296">
        <f t="shared" si="1"/>
        <v>288597.36</v>
      </c>
    </row>
    <row r="63" spans="1:7" ht="36.6" customHeight="1" x14ac:dyDescent="0.3">
      <c r="A63" s="119" t="s">
        <v>448</v>
      </c>
      <c r="B63" s="126">
        <v>1</v>
      </c>
      <c r="C63" s="296">
        <f t="shared" si="2"/>
        <v>24049.78</v>
      </c>
      <c r="D63" s="125">
        <v>13360</v>
      </c>
      <c r="E63" s="296"/>
      <c r="F63" s="296">
        <v>10689.78</v>
      </c>
      <c r="G63" s="296">
        <f t="shared" si="1"/>
        <v>288597.36</v>
      </c>
    </row>
    <row r="64" spans="1:7" ht="26.4" customHeight="1" x14ac:dyDescent="0.3">
      <c r="A64" s="131" t="s">
        <v>309</v>
      </c>
      <c r="B64" s="126">
        <v>12</v>
      </c>
      <c r="C64" s="296">
        <f t="shared" si="2"/>
        <v>38598.449999999997</v>
      </c>
      <c r="D64" s="125">
        <v>14500</v>
      </c>
      <c r="E64" s="296"/>
      <c r="F64" s="296">
        <v>24098.45</v>
      </c>
      <c r="G64" s="296">
        <f t="shared" si="1"/>
        <v>5558176.7999999998</v>
      </c>
    </row>
    <row r="65" spans="1:7" ht="39.6" x14ac:dyDescent="0.3">
      <c r="A65" s="131" t="s">
        <v>310</v>
      </c>
      <c r="B65" s="126">
        <v>13</v>
      </c>
      <c r="C65" s="296">
        <f t="shared" si="2"/>
        <v>37054.69</v>
      </c>
      <c r="D65" s="125">
        <v>14000</v>
      </c>
      <c r="E65" s="296"/>
      <c r="F65" s="296">
        <v>23054.69</v>
      </c>
      <c r="G65" s="296">
        <f t="shared" si="1"/>
        <v>5780531.6400000006</v>
      </c>
    </row>
    <row r="66" spans="1:7" ht="26.4" x14ac:dyDescent="0.3">
      <c r="A66" s="131" t="s">
        <v>311</v>
      </c>
      <c r="B66" s="126">
        <v>4</v>
      </c>
      <c r="C66" s="296">
        <f t="shared" si="2"/>
        <v>34922.47</v>
      </c>
      <c r="D66" s="125">
        <v>13360</v>
      </c>
      <c r="E66" s="296"/>
      <c r="F66" s="296">
        <v>21562.47</v>
      </c>
      <c r="G66" s="296">
        <f t="shared" si="1"/>
        <v>1676278.56</v>
      </c>
    </row>
    <row r="67" spans="1:7" ht="15" customHeight="1" x14ac:dyDescent="0.3">
      <c r="A67" s="131" t="s">
        <v>312</v>
      </c>
      <c r="B67" s="126">
        <v>9</v>
      </c>
      <c r="C67" s="296">
        <f t="shared" si="2"/>
        <v>33207.589999999997</v>
      </c>
      <c r="D67" s="125">
        <v>13360</v>
      </c>
      <c r="E67" s="296"/>
      <c r="F67" s="296">
        <v>19847.59</v>
      </c>
      <c r="G67" s="296">
        <f t="shared" si="1"/>
        <v>3586419.7199999993</v>
      </c>
    </row>
    <row r="68" spans="1:7" x14ac:dyDescent="0.3">
      <c r="A68" s="132" t="s">
        <v>313</v>
      </c>
      <c r="B68" s="126">
        <v>12</v>
      </c>
      <c r="C68" s="296">
        <f t="shared" si="2"/>
        <v>31845.439999999999</v>
      </c>
      <c r="D68" s="125">
        <v>12400</v>
      </c>
      <c r="E68" s="296"/>
      <c r="F68" s="296">
        <v>19445.439999999999</v>
      </c>
      <c r="G68" s="296">
        <f t="shared" si="1"/>
        <v>4585743.3599999994</v>
      </c>
    </row>
    <row r="69" spans="1:7" ht="26.4" x14ac:dyDescent="0.3">
      <c r="A69" s="131" t="s">
        <v>314</v>
      </c>
      <c r="B69" s="126">
        <v>4</v>
      </c>
      <c r="C69" s="296">
        <f t="shared" si="2"/>
        <v>33468.65</v>
      </c>
      <c r="D69" s="125">
        <v>13360</v>
      </c>
      <c r="E69" s="296"/>
      <c r="F69" s="296">
        <v>20108.650000000001</v>
      </c>
      <c r="G69" s="296">
        <f t="shared" si="1"/>
        <v>1606495.2000000002</v>
      </c>
    </row>
    <row r="70" spans="1:7" ht="17.25" customHeight="1" x14ac:dyDescent="0.3">
      <c r="A70" s="131" t="s">
        <v>315</v>
      </c>
      <c r="B70" s="126">
        <v>7</v>
      </c>
      <c r="C70" s="296">
        <f t="shared" si="2"/>
        <v>31857.45</v>
      </c>
      <c r="D70" s="125">
        <v>12500</v>
      </c>
      <c r="E70" s="296"/>
      <c r="F70" s="296">
        <v>19357.45</v>
      </c>
      <c r="G70" s="296">
        <f t="shared" si="1"/>
        <v>2676025.7999999998</v>
      </c>
    </row>
    <row r="71" spans="1:7" ht="30" customHeight="1" x14ac:dyDescent="0.3">
      <c r="A71" s="133" t="s">
        <v>316</v>
      </c>
      <c r="B71" s="134">
        <v>8</v>
      </c>
      <c r="C71" s="135">
        <f t="shared" si="2"/>
        <v>30569.98</v>
      </c>
      <c r="D71" s="136">
        <v>12000</v>
      </c>
      <c r="E71" s="135"/>
      <c r="F71" s="135">
        <v>18569.98</v>
      </c>
      <c r="G71" s="135">
        <f t="shared" si="1"/>
        <v>2934718.08</v>
      </c>
    </row>
    <row r="72" spans="1:7" ht="26.4" x14ac:dyDescent="0.3">
      <c r="A72" s="131" t="s">
        <v>317</v>
      </c>
      <c r="B72" s="126">
        <v>16</v>
      </c>
      <c r="C72" s="296">
        <f t="shared" si="2"/>
        <v>31701.56</v>
      </c>
      <c r="D72" s="125">
        <v>13360</v>
      </c>
      <c r="E72" s="296"/>
      <c r="F72" s="296">
        <v>18341.560000000001</v>
      </c>
      <c r="G72" s="296">
        <f t="shared" si="1"/>
        <v>6086699.5200000005</v>
      </c>
    </row>
    <row r="73" spans="1:7" ht="26.4" x14ac:dyDescent="0.3">
      <c r="A73" s="131" t="s">
        <v>318</v>
      </c>
      <c r="B73" s="126">
        <v>6</v>
      </c>
      <c r="C73" s="296">
        <f t="shared" si="2"/>
        <v>28889.190000000002</v>
      </c>
      <c r="D73" s="125">
        <v>12700</v>
      </c>
      <c r="E73" s="296"/>
      <c r="F73" s="296">
        <v>16189.19</v>
      </c>
      <c r="G73" s="296">
        <f t="shared" si="1"/>
        <v>2080021.6800000002</v>
      </c>
    </row>
    <row r="74" spans="1:7" x14ac:dyDescent="0.3">
      <c r="A74" s="131" t="s">
        <v>319</v>
      </c>
      <c r="B74" s="126">
        <v>7</v>
      </c>
      <c r="C74" s="296">
        <f t="shared" si="2"/>
        <v>25425.75</v>
      </c>
      <c r="D74" s="125">
        <v>12000</v>
      </c>
      <c r="E74" s="296"/>
      <c r="F74" s="296">
        <v>13425.75</v>
      </c>
      <c r="G74" s="296">
        <f t="shared" si="1"/>
        <v>2135763</v>
      </c>
    </row>
    <row r="75" spans="1:7" ht="17.25" customHeight="1" x14ac:dyDescent="0.3">
      <c r="A75" s="137" t="s">
        <v>320</v>
      </c>
      <c r="B75" s="138">
        <v>1</v>
      </c>
      <c r="C75" s="139">
        <f t="shared" si="2"/>
        <v>27959.54</v>
      </c>
      <c r="D75" s="140">
        <v>14500</v>
      </c>
      <c r="E75" s="139"/>
      <c r="F75" s="139">
        <v>13459.54</v>
      </c>
      <c r="G75" s="139">
        <f t="shared" si="1"/>
        <v>335514.48</v>
      </c>
    </row>
    <row r="76" spans="1:7" x14ac:dyDescent="0.3">
      <c r="A76" s="141" t="s">
        <v>321</v>
      </c>
      <c r="B76" s="138">
        <v>1</v>
      </c>
      <c r="C76" s="139">
        <f t="shared" si="2"/>
        <v>24312.36</v>
      </c>
      <c r="D76" s="140">
        <v>12470</v>
      </c>
      <c r="E76" s="139"/>
      <c r="F76" s="139">
        <v>11842.36</v>
      </c>
      <c r="G76" s="139">
        <f t="shared" si="1"/>
        <v>291748.32</v>
      </c>
    </row>
    <row r="77" spans="1:7" x14ac:dyDescent="0.3">
      <c r="A77" s="141" t="s">
        <v>322</v>
      </c>
      <c r="B77" s="138">
        <v>1</v>
      </c>
      <c r="C77" s="139">
        <f t="shared" si="2"/>
        <v>20432</v>
      </c>
      <c r="D77" s="140">
        <v>10310</v>
      </c>
      <c r="E77" s="139"/>
      <c r="F77" s="139">
        <v>10122</v>
      </c>
      <c r="G77" s="139">
        <f t="shared" si="1"/>
        <v>245184</v>
      </c>
    </row>
    <row r="78" spans="1:7" x14ac:dyDescent="0.3">
      <c r="A78" s="141" t="s">
        <v>323</v>
      </c>
      <c r="B78" s="138">
        <v>2</v>
      </c>
      <c r="C78" s="139">
        <f t="shared" si="2"/>
        <v>19372</v>
      </c>
      <c r="D78" s="140">
        <v>9250</v>
      </c>
      <c r="E78" s="139"/>
      <c r="F78" s="139">
        <v>10122</v>
      </c>
      <c r="G78" s="139">
        <f t="shared" si="1"/>
        <v>464928</v>
      </c>
    </row>
    <row r="79" spans="1:7" ht="24" x14ac:dyDescent="0.3">
      <c r="A79" s="137" t="s">
        <v>324</v>
      </c>
      <c r="B79" s="138">
        <v>1</v>
      </c>
      <c r="C79" s="139">
        <f t="shared" si="2"/>
        <v>23671.52</v>
      </c>
      <c r="D79" s="140">
        <v>13360</v>
      </c>
      <c r="E79" s="139"/>
      <c r="F79" s="139">
        <v>10311.52</v>
      </c>
      <c r="G79" s="139">
        <f t="shared" si="1"/>
        <v>284058.23999999999</v>
      </c>
    </row>
    <row r="80" spans="1:7" x14ac:dyDescent="0.3">
      <c r="A80" s="141" t="s">
        <v>325</v>
      </c>
      <c r="B80" s="138">
        <v>2</v>
      </c>
      <c r="C80" s="139">
        <f t="shared" si="2"/>
        <v>22788.15</v>
      </c>
      <c r="D80" s="140">
        <v>12210</v>
      </c>
      <c r="E80" s="139"/>
      <c r="F80" s="139">
        <v>10578.15</v>
      </c>
      <c r="G80" s="139">
        <f t="shared" si="1"/>
        <v>546915.60000000009</v>
      </c>
    </row>
    <row r="81" spans="1:7" ht="26.4" x14ac:dyDescent="0.3">
      <c r="A81" s="142" t="s">
        <v>326</v>
      </c>
      <c r="B81" s="138">
        <v>1</v>
      </c>
      <c r="C81" s="139">
        <f t="shared" si="2"/>
        <v>22139.78</v>
      </c>
      <c r="D81" s="140">
        <v>11500</v>
      </c>
      <c r="E81" s="139"/>
      <c r="F81" s="139">
        <v>10639.78</v>
      </c>
      <c r="G81" s="139">
        <f t="shared" si="1"/>
        <v>265677.36</v>
      </c>
    </row>
    <row r="82" spans="1:7" x14ac:dyDescent="0.3">
      <c r="A82" s="141" t="s">
        <v>327</v>
      </c>
      <c r="B82" s="138">
        <v>1</v>
      </c>
      <c r="C82" s="139">
        <f t="shared" si="2"/>
        <v>24205.940000000002</v>
      </c>
      <c r="D82" s="140">
        <v>13360</v>
      </c>
      <c r="E82" s="139"/>
      <c r="F82" s="139">
        <v>10845.94</v>
      </c>
      <c r="G82" s="139">
        <f t="shared" si="1"/>
        <v>290471.28000000003</v>
      </c>
    </row>
    <row r="83" spans="1:7" x14ac:dyDescent="0.3">
      <c r="A83" s="141" t="s">
        <v>328</v>
      </c>
      <c r="B83" s="138">
        <v>4</v>
      </c>
      <c r="C83" s="139">
        <f t="shared" si="2"/>
        <v>20567.45</v>
      </c>
      <c r="D83" s="140">
        <v>10000</v>
      </c>
      <c r="E83" s="139"/>
      <c r="F83" s="139">
        <v>10567.45</v>
      </c>
      <c r="G83" s="139">
        <f t="shared" si="1"/>
        <v>987237.60000000009</v>
      </c>
    </row>
    <row r="84" spans="1:7" ht="26.4" x14ac:dyDescent="0.3">
      <c r="A84" s="142" t="s">
        <v>329</v>
      </c>
      <c r="B84" s="138">
        <v>1</v>
      </c>
      <c r="C84" s="139">
        <f t="shared" si="2"/>
        <v>23965.47</v>
      </c>
      <c r="D84" s="140">
        <v>13360</v>
      </c>
      <c r="E84" s="139"/>
      <c r="F84" s="139">
        <v>10605.47</v>
      </c>
      <c r="G84" s="139">
        <f t="shared" si="1"/>
        <v>287585.64</v>
      </c>
    </row>
    <row r="85" spans="1:7" x14ac:dyDescent="0.3">
      <c r="A85" s="141" t="s">
        <v>330</v>
      </c>
      <c r="B85" s="138">
        <v>2.5</v>
      </c>
      <c r="C85" s="139">
        <f t="shared" si="2"/>
        <v>21967.59</v>
      </c>
      <c r="D85" s="140">
        <v>12000</v>
      </c>
      <c r="E85" s="139"/>
      <c r="F85" s="139">
        <v>9967.59</v>
      </c>
      <c r="G85" s="139">
        <f t="shared" si="1"/>
        <v>659027.69999999995</v>
      </c>
    </row>
    <row r="86" spans="1:7" ht="17.25" customHeight="1" x14ac:dyDescent="0.3">
      <c r="A86" s="142" t="s">
        <v>331</v>
      </c>
      <c r="B86" s="138">
        <v>1</v>
      </c>
      <c r="C86" s="139">
        <f t="shared" si="2"/>
        <v>22846.120000000003</v>
      </c>
      <c r="D86" s="140">
        <v>13360</v>
      </c>
      <c r="E86" s="139"/>
      <c r="F86" s="139">
        <v>9486.1200000000008</v>
      </c>
      <c r="G86" s="139">
        <f t="shared" ref="G86:G110" si="3">C86*B86*12</f>
        <v>274153.44000000006</v>
      </c>
    </row>
    <row r="87" spans="1:7" x14ac:dyDescent="0.3">
      <c r="A87" s="141" t="s">
        <v>332</v>
      </c>
      <c r="B87" s="138">
        <v>1</v>
      </c>
      <c r="C87" s="139">
        <f t="shared" si="2"/>
        <v>18124.25</v>
      </c>
      <c r="D87" s="140">
        <v>13360</v>
      </c>
      <c r="E87" s="139"/>
      <c r="F87" s="139">
        <v>4764.25</v>
      </c>
      <c r="G87" s="139">
        <f t="shared" si="3"/>
        <v>217491</v>
      </c>
    </row>
    <row r="88" spans="1:7" x14ac:dyDescent="0.3">
      <c r="A88" s="141" t="s">
        <v>333</v>
      </c>
      <c r="B88" s="138">
        <v>2</v>
      </c>
      <c r="C88" s="139">
        <f t="shared" ref="C88:C115" si="4">SUM(D88:F88)</f>
        <v>21922.61</v>
      </c>
      <c r="D88" s="140">
        <v>12470</v>
      </c>
      <c r="E88" s="139"/>
      <c r="F88" s="139">
        <v>9452.61</v>
      </c>
      <c r="G88" s="139">
        <f t="shared" si="3"/>
        <v>526142.64</v>
      </c>
    </row>
    <row r="89" spans="1:7" x14ac:dyDescent="0.3">
      <c r="A89" s="141" t="s">
        <v>334</v>
      </c>
      <c r="B89" s="138">
        <v>2</v>
      </c>
      <c r="C89" s="139">
        <f t="shared" si="4"/>
        <v>20184.150000000001</v>
      </c>
      <c r="D89" s="140">
        <v>10310</v>
      </c>
      <c r="E89" s="139"/>
      <c r="F89" s="139">
        <v>9874.15</v>
      </c>
      <c r="G89" s="139">
        <f t="shared" si="3"/>
        <v>484419.60000000003</v>
      </c>
    </row>
    <row r="90" spans="1:7" ht="26.4" customHeight="1" x14ac:dyDescent="0.3">
      <c r="A90" s="141" t="s">
        <v>335</v>
      </c>
      <c r="B90" s="138">
        <v>1</v>
      </c>
      <c r="C90" s="139">
        <f t="shared" si="4"/>
        <v>19845.97</v>
      </c>
      <c r="D90" s="140">
        <v>10000</v>
      </c>
      <c r="E90" s="139"/>
      <c r="F90" s="139">
        <v>9845.9699999999993</v>
      </c>
      <c r="G90" s="139">
        <f t="shared" si="3"/>
        <v>238151.64</v>
      </c>
    </row>
    <row r="91" spans="1:7" x14ac:dyDescent="0.3">
      <c r="A91" s="141" t="s">
        <v>449</v>
      </c>
      <c r="B91" s="138">
        <v>1</v>
      </c>
      <c r="C91" s="139">
        <f>SUM(D91:F91)</f>
        <v>13996.36</v>
      </c>
      <c r="D91" s="140">
        <v>12470</v>
      </c>
      <c r="E91" s="139"/>
      <c r="F91" s="139">
        <v>1526.36</v>
      </c>
      <c r="G91" s="139">
        <f>C91*B91*12</f>
        <v>167956.32</v>
      </c>
    </row>
    <row r="92" spans="1:7" ht="26.4" x14ac:dyDescent="0.3">
      <c r="A92" s="142" t="s">
        <v>336</v>
      </c>
      <c r="B92" s="138">
        <v>1</v>
      </c>
      <c r="C92" s="139">
        <f t="shared" si="4"/>
        <v>22483.95</v>
      </c>
      <c r="D92" s="140">
        <v>13360</v>
      </c>
      <c r="E92" s="139"/>
      <c r="F92" s="139">
        <v>9123.9500000000007</v>
      </c>
      <c r="G92" s="139">
        <f t="shared" si="3"/>
        <v>269807.40000000002</v>
      </c>
    </row>
    <row r="93" spans="1:7" x14ac:dyDescent="0.3">
      <c r="A93" s="141" t="s">
        <v>337</v>
      </c>
      <c r="B93" s="138">
        <v>2</v>
      </c>
      <c r="C93" s="139">
        <f t="shared" si="4"/>
        <v>21349.48</v>
      </c>
      <c r="D93" s="140">
        <v>12000</v>
      </c>
      <c r="E93" s="139"/>
      <c r="F93" s="139">
        <v>9349.48</v>
      </c>
      <c r="G93" s="139">
        <f t="shared" si="3"/>
        <v>512387.52</v>
      </c>
    </row>
    <row r="94" spans="1:7" x14ac:dyDescent="0.3">
      <c r="A94" s="142" t="s">
        <v>338</v>
      </c>
      <c r="B94" s="138">
        <v>4</v>
      </c>
      <c r="C94" s="139">
        <f t="shared" si="4"/>
        <v>22156.82</v>
      </c>
      <c r="D94" s="140">
        <v>12500</v>
      </c>
      <c r="E94" s="139"/>
      <c r="F94" s="139">
        <v>9656.82</v>
      </c>
      <c r="G94" s="139">
        <f t="shared" si="3"/>
        <v>1063527.3599999999</v>
      </c>
    </row>
    <row r="95" spans="1:7" x14ac:dyDescent="0.3">
      <c r="A95" s="123" t="s">
        <v>339</v>
      </c>
      <c r="B95" s="120">
        <v>1</v>
      </c>
      <c r="C95" s="296">
        <f t="shared" si="4"/>
        <v>22727.239999999998</v>
      </c>
      <c r="D95" s="125">
        <v>13360</v>
      </c>
      <c r="E95" s="296"/>
      <c r="F95" s="296">
        <v>9367.24</v>
      </c>
      <c r="G95" s="296">
        <f t="shared" si="3"/>
        <v>272726.88</v>
      </c>
    </row>
    <row r="96" spans="1:7" x14ac:dyDescent="0.3">
      <c r="A96" s="141" t="s">
        <v>340</v>
      </c>
      <c r="B96" s="138">
        <v>0.5</v>
      </c>
      <c r="C96" s="139">
        <f t="shared" si="4"/>
        <v>19838.510000000002</v>
      </c>
      <c r="D96" s="140">
        <v>10310</v>
      </c>
      <c r="E96" s="139"/>
      <c r="F96" s="139">
        <v>9528.51</v>
      </c>
      <c r="G96" s="139">
        <f t="shared" si="3"/>
        <v>119031.06000000001</v>
      </c>
    </row>
    <row r="97" spans="1:7" ht="26.4" x14ac:dyDescent="0.3">
      <c r="A97" s="142" t="s">
        <v>341</v>
      </c>
      <c r="B97" s="138">
        <v>1</v>
      </c>
      <c r="C97" s="139">
        <f t="shared" si="4"/>
        <v>24363.97</v>
      </c>
      <c r="D97" s="143">
        <v>14500</v>
      </c>
      <c r="E97" s="139"/>
      <c r="F97" s="139">
        <v>9863.9699999999993</v>
      </c>
      <c r="G97" s="139">
        <f t="shared" si="3"/>
        <v>292367.64</v>
      </c>
    </row>
    <row r="98" spans="1:7" x14ac:dyDescent="0.3">
      <c r="A98" s="141" t="s">
        <v>342</v>
      </c>
      <c r="B98" s="138">
        <v>4</v>
      </c>
      <c r="C98" s="139">
        <f t="shared" si="4"/>
        <v>21896.25</v>
      </c>
      <c r="D98" s="143">
        <v>12000</v>
      </c>
      <c r="E98" s="139"/>
      <c r="F98" s="139">
        <v>9896.25</v>
      </c>
      <c r="G98" s="139">
        <f t="shared" si="3"/>
        <v>1051020</v>
      </c>
    </row>
    <row r="99" spans="1:7" x14ac:dyDescent="0.3">
      <c r="A99" s="141" t="s">
        <v>343</v>
      </c>
      <c r="B99" s="138">
        <v>2</v>
      </c>
      <c r="C99" s="139">
        <f t="shared" si="4"/>
        <v>20745.190000000002</v>
      </c>
      <c r="D99" s="143">
        <v>11000</v>
      </c>
      <c r="E99" s="139"/>
      <c r="F99" s="139">
        <v>9745.19</v>
      </c>
      <c r="G99" s="139">
        <f t="shared" si="3"/>
        <v>497884.56000000006</v>
      </c>
    </row>
    <row r="100" spans="1:7" ht="15" customHeight="1" x14ac:dyDescent="0.3">
      <c r="A100" s="141" t="s">
        <v>344</v>
      </c>
      <c r="B100" s="138">
        <v>1.5</v>
      </c>
      <c r="C100" s="139">
        <f t="shared" si="4"/>
        <v>19878.739999999998</v>
      </c>
      <c r="D100" s="143">
        <v>10310</v>
      </c>
      <c r="E100" s="139"/>
      <c r="F100" s="139">
        <v>9568.74</v>
      </c>
      <c r="G100" s="139">
        <f t="shared" si="3"/>
        <v>357817.31999999995</v>
      </c>
    </row>
    <row r="101" spans="1:7" ht="26.4" x14ac:dyDescent="0.3">
      <c r="A101" s="142" t="s">
        <v>345</v>
      </c>
      <c r="B101" s="138">
        <v>1</v>
      </c>
      <c r="C101" s="139">
        <f t="shared" si="4"/>
        <v>21315.47</v>
      </c>
      <c r="D101" s="143">
        <v>11720</v>
      </c>
      <c r="E101" s="139"/>
      <c r="F101" s="139">
        <v>9595.4699999999993</v>
      </c>
      <c r="G101" s="139">
        <f t="shared" si="3"/>
        <v>255785.64</v>
      </c>
    </row>
    <row r="102" spans="1:7" x14ac:dyDescent="0.3">
      <c r="A102" s="141" t="s">
        <v>346</v>
      </c>
      <c r="B102" s="138">
        <v>1</v>
      </c>
      <c r="C102" s="139">
        <f t="shared" si="4"/>
        <v>19863.98</v>
      </c>
      <c r="D102" s="143">
        <v>10310</v>
      </c>
      <c r="E102" s="139"/>
      <c r="F102" s="139">
        <v>9553.98</v>
      </c>
      <c r="G102" s="139">
        <f t="shared" si="3"/>
        <v>238367.76</v>
      </c>
    </row>
    <row r="103" spans="1:7" x14ac:dyDescent="0.3">
      <c r="A103" s="141" t="s">
        <v>347</v>
      </c>
      <c r="B103" s="138">
        <v>1</v>
      </c>
      <c r="C103" s="139">
        <f t="shared" si="4"/>
        <v>19812</v>
      </c>
      <c r="D103" s="143">
        <v>10310</v>
      </c>
      <c r="E103" s="139"/>
      <c r="F103" s="139">
        <v>9502</v>
      </c>
      <c r="G103" s="139">
        <f t="shared" si="3"/>
        <v>237744</v>
      </c>
    </row>
    <row r="104" spans="1:7" ht="16.5" customHeight="1" x14ac:dyDescent="0.3">
      <c r="A104" s="142" t="s">
        <v>348</v>
      </c>
      <c r="B104" s="138">
        <v>1</v>
      </c>
      <c r="C104" s="139">
        <f t="shared" si="4"/>
        <v>19859.059999999998</v>
      </c>
      <c r="D104" s="143">
        <v>10310</v>
      </c>
      <c r="E104" s="139"/>
      <c r="F104" s="139">
        <v>9549.06</v>
      </c>
      <c r="G104" s="139">
        <f t="shared" si="3"/>
        <v>238308.71999999997</v>
      </c>
    </row>
    <row r="105" spans="1:7" x14ac:dyDescent="0.3">
      <c r="A105" s="141" t="s">
        <v>349</v>
      </c>
      <c r="B105" s="138">
        <v>4</v>
      </c>
      <c r="C105" s="139">
        <f t="shared" si="4"/>
        <v>20236.43</v>
      </c>
      <c r="D105" s="143">
        <v>10310</v>
      </c>
      <c r="E105" s="139"/>
      <c r="F105" s="139">
        <v>9926.43</v>
      </c>
      <c r="G105" s="139">
        <f t="shared" si="3"/>
        <v>971348.64</v>
      </c>
    </row>
    <row r="106" spans="1:7" x14ac:dyDescent="0.3">
      <c r="A106" s="141" t="s">
        <v>350</v>
      </c>
      <c r="B106" s="138">
        <v>3</v>
      </c>
      <c r="C106" s="139">
        <f t="shared" si="4"/>
        <v>19209.8</v>
      </c>
      <c r="D106" s="143">
        <v>9250</v>
      </c>
      <c r="E106" s="139"/>
      <c r="F106" s="139">
        <v>9959.7999999999993</v>
      </c>
      <c r="G106" s="139">
        <f t="shared" si="3"/>
        <v>691552.79999999993</v>
      </c>
    </row>
    <row r="107" spans="1:7" ht="26.4" x14ac:dyDescent="0.3">
      <c r="A107" s="142" t="s">
        <v>386</v>
      </c>
      <c r="B107" s="138">
        <v>10.5</v>
      </c>
      <c r="C107" s="139">
        <f t="shared" si="4"/>
        <v>18933.580000000002</v>
      </c>
      <c r="D107" s="143">
        <v>10310</v>
      </c>
      <c r="E107" s="139"/>
      <c r="F107" s="139">
        <v>8623.58</v>
      </c>
      <c r="G107" s="139">
        <f t="shared" si="3"/>
        <v>2385631.08</v>
      </c>
    </row>
    <row r="108" spans="1:7" ht="13.2" customHeight="1" x14ac:dyDescent="0.3">
      <c r="A108" s="141" t="s">
        <v>351</v>
      </c>
      <c r="B108" s="138">
        <v>1.5</v>
      </c>
      <c r="C108" s="139">
        <f t="shared" si="4"/>
        <v>18566</v>
      </c>
      <c r="D108" s="143">
        <v>10310</v>
      </c>
      <c r="E108" s="139"/>
      <c r="F108" s="139">
        <v>8256</v>
      </c>
      <c r="G108" s="139">
        <f>C108*B108*12</f>
        <v>334188</v>
      </c>
    </row>
    <row r="109" spans="1:7" ht="17.25" customHeight="1" x14ac:dyDescent="0.3">
      <c r="A109" s="144" t="s">
        <v>352</v>
      </c>
      <c r="B109" s="145">
        <v>1</v>
      </c>
      <c r="C109" s="139">
        <f t="shared" si="4"/>
        <v>18272.73</v>
      </c>
      <c r="D109" s="146">
        <v>9250</v>
      </c>
      <c r="E109" s="139"/>
      <c r="F109" s="139">
        <v>9022.73</v>
      </c>
      <c r="G109" s="139">
        <f>C109*B109*12</f>
        <v>219272.76</v>
      </c>
    </row>
    <row r="110" spans="1:7" x14ac:dyDescent="0.3">
      <c r="A110" s="141" t="s">
        <v>353</v>
      </c>
      <c r="B110" s="138">
        <v>1</v>
      </c>
      <c r="C110" s="139">
        <f t="shared" si="4"/>
        <v>12470</v>
      </c>
      <c r="D110" s="143">
        <v>12470</v>
      </c>
      <c r="E110" s="139"/>
      <c r="F110" s="139"/>
      <c r="G110" s="139">
        <f t="shared" si="3"/>
        <v>149640</v>
      </c>
    </row>
    <row r="111" spans="1:7" x14ac:dyDescent="0.3">
      <c r="A111" s="141" t="s">
        <v>354</v>
      </c>
      <c r="B111" s="138">
        <v>2</v>
      </c>
      <c r="C111" s="139">
        <f t="shared" si="4"/>
        <v>19788.120000000003</v>
      </c>
      <c r="D111" s="143">
        <v>10770</v>
      </c>
      <c r="E111" s="139"/>
      <c r="F111" s="139">
        <v>9018.1200000000008</v>
      </c>
      <c r="G111" s="139">
        <f>C111*B111*12</f>
        <v>474914.88000000006</v>
      </c>
    </row>
    <row r="112" spans="1:7" ht="17.25" customHeight="1" x14ac:dyDescent="0.3">
      <c r="A112" s="141" t="s">
        <v>355</v>
      </c>
      <c r="B112" s="138">
        <v>1</v>
      </c>
      <c r="C112" s="139">
        <f t="shared" si="4"/>
        <v>11240</v>
      </c>
      <c r="D112" s="143">
        <v>11240</v>
      </c>
      <c r="E112" s="139"/>
      <c r="F112" s="139"/>
      <c r="G112" s="139">
        <f>C112*B112*12+0.04</f>
        <v>134880.04</v>
      </c>
    </row>
    <row r="113" spans="1:8" x14ac:dyDescent="0.3">
      <c r="A113" s="147" t="s">
        <v>356</v>
      </c>
      <c r="B113" s="134">
        <v>1</v>
      </c>
      <c r="C113" s="135">
        <f t="shared" si="4"/>
        <v>21519.53</v>
      </c>
      <c r="D113" s="136">
        <v>12500</v>
      </c>
      <c r="E113" s="135"/>
      <c r="F113" s="135">
        <v>9019.5300000000007</v>
      </c>
      <c r="G113" s="135">
        <f>C113*B113*12</f>
        <v>258234.36</v>
      </c>
    </row>
    <row r="114" spans="1:8" ht="13.95" customHeight="1" x14ac:dyDescent="0.3">
      <c r="A114" s="123" t="s">
        <v>357</v>
      </c>
      <c r="B114" s="126">
        <v>3</v>
      </c>
      <c r="C114" s="296">
        <f t="shared" si="4"/>
        <v>20277.34</v>
      </c>
      <c r="D114" s="125">
        <v>11500</v>
      </c>
      <c r="E114" s="296"/>
      <c r="F114" s="296">
        <f>8723.25+54.09</f>
        <v>8777.34</v>
      </c>
      <c r="G114" s="296">
        <f>C114*B114*12</f>
        <v>729984.24</v>
      </c>
    </row>
    <row r="115" spans="1:8" ht="16.5" customHeight="1" x14ac:dyDescent="0.3">
      <c r="A115" s="131" t="s">
        <v>358</v>
      </c>
      <c r="B115" s="126">
        <v>1</v>
      </c>
      <c r="C115" s="296">
        <f t="shared" si="4"/>
        <v>21659.86</v>
      </c>
      <c r="D115" s="125">
        <v>12470</v>
      </c>
      <c r="E115" s="296"/>
      <c r="F115" s="296">
        <v>9189.86</v>
      </c>
      <c r="G115" s="296">
        <f>C115*B115*12</f>
        <v>259918.32</v>
      </c>
    </row>
    <row r="116" spans="1:8" ht="18" hidden="1" customHeight="1" x14ac:dyDescent="0.3">
      <c r="A116" s="300"/>
      <c r="B116" s="301"/>
      <c r="C116" s="302"/>
      <c r="D116" s="303"/>
      <c r="E116" s="302"/>
      <c r="F116" s="302"/>
      <c r="G116" s="302">
        <f>SUM(G22:G115)</f>
        <v>74581038.280000001</v>
      </c>
    </row>
    <row r="117" spans="1:8" ht="18.600000000000001" customHeight="1" x14ac:dyDescent="0.3">
      <c r="A117" s="97" t="s">
        <v>145</v>
      </c>
      <c r="B117" s="97">
        <f>SUM(B22:B115)</f>
        <v>222</v>
      </c>
      <c r="C117" s="98"/>
      <c r="D117" s="98"/>
      <c r="E117" s="98"/>
      <c r="F117" s="98"/>
      <c r="G117" s="155">
        <f>'гос.задание на 2023-2024 год '!G26+'гос.задание на 2023-2024 год '!G63</f>
        <v>74581038.280000001</v>
      </c>
      <c r="H117" s="44"/>
    </row>
    <row r="118" spans="1:8" ht="17.399999999999999" x14ac:dyDescent="0.3">
      <c r="A118" s="6"/>
    </row>
    <row r="119" spans="1:8" ht="17.399999999999999" x14ac:dyDescent="0.3">
      <c r="A119" s="415" t="s">
        <v>179</v>
      </c>
      <c r="B119" s="415"/>
      <c r="C119" s="415"/>
      <c r="D119" s="415"/>
      <c r="E119" s="415"/>
      <c r="F119" s="415"/>
      <c r="G119" s="415"/>
    </row>
    <row r="120" spans="1:8" ht="18" customHeight="1" x14ac:dyDescent="0.3">
      <c r="A120" s="102"/>
      <c r="B120" s="102"/>
      <c r="C120" s="102"/>
      <c r="D120" s="102"/>
      <c r="E120" s="102"/>
      <c r="F120" s="102"/>
      <c r="G120" s="102"/>
    </row>
    <row r="121" spans="1:8" ht="18" x14ac:dyDescent="0.35">
      <c r="A121" s="7" t="s">
        <v>144</v>
      </c>
      <c r="B121" s="8">
        <v>119</v>
      </c>
    </row>
    <row r="122" spans="1:8" ht="18" customHeight="1" x14ac:dyDescent="0.3">
      <c r="A122" s="9"/>
    </row>
    <row r="123" spans="1:8" ht="24.6" customHeight="1" x14ac:dyDescent="0.3">
      <c r="A123" s="513" t="s">
        <v>83</v>
      </c>
      <c r="B123" s="416" t="s">
        <v>243</v>
      </c>
      <c r="C123" s="416"/>
      <c r="D123" s="416" t="s">
        <v>184</v>
      </c>
      <c r="E123" s="416"/>
      <c r="F123" s="416" t="s">
        <v>84</v>
      </c>
      <c r="G123" s="416"/>
    </row>
    <row r="124" spans="1:8" ht="24" customHeight="1" x14ac:dyDescent="0.3">
      <c r="A124" s="513"/>
      <c r="B124" s="416"/>
      <c r="C124" s="416"/>
      <c r="D124" s="416"/>
      <c r="E124" s="416"/>
      <c r="F124" s="416"/>
      <c r="G124" s="416"/>
    </row>
    <row r="125" spans="1:8" ht="18" x14ac:dyDescent="0.3">
      <c r="A125" s="97">
        <v>1</v>
      </c>
      <c r="B125" s="416">
        <v>2</v>
      </c>
      <c r="C125" s="416"/>
      <c r="D125" s="416">
        <v>3</v>
      </c>
      <c r="E125" s="416"/>
      <c r="F125" s="416">
        <v>4</v>
      </c>
      <c r="G125" s="416"/>
    </row>
    <row r="126" spans="1:8" ht="18" x14ac:dyDescent="0.3">
      <c r="A126" s="115">
        <f>B117</f>
        <v>222</v>
      </c>
      <c r="B126" s="417">
        <f>'гос.задание на 2023-2024 год '!G26+'гос.задание на 2023-2024 год '!G28+'гос.задание на 2023-2024 год '!G63</f>
        <v>97071140.840000004</v>
      </c>
      <c r="C126" s="417"/>
      <c r="D126" s="417">
        <f>G117</f>
        <v>74581038.280000001</v>
      </c>
      <c r="E126" s="417"/>
      <c r="F126" s="417">
        <f>B126-D126</f>
        <v>22490102.560000002</v>
      </c>
      <c r="G126" s="417"/>
    </row>
    <row r="127" spans="1:8" ht="18" customHeight="1" x14ac:dyDescent="0.3">
      <c r="A127" s="6"/>
    </row>
    <row r="128" spans="1:8" ht="18" customHeight="1" x14ac:dyDescent="0.3">
      <c r="A128" s="424" t="s">
        <v>202</v>
      </c>
      <c r="B128" s="424"/>
      <c r="C128" s="424"/>
      <c r="D128" s="424"/>
      <c r="E128" s="424"/>
      <c r="F128" s="424"/>
      <c r="G128" s="424"/>
    </row>
    <row r="129" spans="1:7" ht="21" customHeight="1" x14ac:dyDescent="0.3">
      <c r="A129" s="7"/>
    </row>
    <row r="130" spans="1:7" ht="18" x14ac:dyDescent="0.35">
      <c r="A130" s="7" t="s">
        <v>146</v>
      </c>
      <c r="B130" s="8">
        <v>112</v>
      </c>
    </row>
    <row r="131" spans="1:7" ht="25.5" customHeight="1" x14ac:dyDescent="0.3">
      <c r="A131" s="9"/>
    </row>
    <row r="132" spans="1:7" ht="54" customHeight="1" x14ac:dyDescent="0.3">
      <c r="A132" s="207" t="s">
        <v>85</v>
      </c>
      <c r="B132" s="207" t="s">
        <v>86</v>
      </c>
      <c r="C132" s="416" t="s">
        <v>87</v>
      </c>
      <c r="D132" s="416"/>
      <c r="E132" s="207" t="s">
        <v>88</v>
      </c>
      <c r="F132" s="416" t="s">
        <v>89</v>
      </c>
      <c r="G132" s="416"/>
    </row>
    <row r="133" spans="1:7" ht="15.75" customHeight="1" x14ac:dyDescent="0.3">
      <c r="A133" s="207">
        <v>1</v>
      </c>
      <c r="B133" s="207">
        <v>2</v>
      </c>
      <c r="C133" s="416">
        <v>3</v>
      </c>
      <c r="D133" s="416"/>
      <c r="E133" s="207">
        <v>4</v>
      </c>
      <c r="F133" s="416">
        <v>5</v>
      </c>
      <c r="G133" s="416"/>
    </row>
    <row r="134" spans="1:7" ht="20.25" customHeight="1" x14ac:dyDescent="0.3">
      <c r="A134" s="206" t="s">
        <v>90</v>
      </c>
      <c r="B134" s="211">
        <v>8</v>
      </c>
      <c r="C134" s="416">
        <v>50</v>
      </c>
      <c r="D134" s="416"/>
      <c r="E134" s="211">
        <v>10</v>
      </c>
      <c r="F134" s="417">
        <f>'гос.задание на 2023-2024 год '!G27</f>
        <v>4000</v>
      </c>
      <c r="G134" s="417"/>
    </row>
    <row r="135" spans="1:7" ht="21" customHeight="1" x14ac:dyDescent="0.3">
      <c r="A135" s="6"/>
    </row>
    <row r="136" spans="1:7" ht="36.75" customHeight="1" x14ac:dyDescent="0.3">
      <c r="A136" s="424" t="s">
        <v>206</v>
      </c>
      <c r="B136" s="424"/>
      <c r="C136" s="424"/>
      <c r="D136" s="424"/>
      <c r="E136" s="424"/>
      <c r="F136" s="424"/>
      <c r="G136" s="424"/>
    </row>
    <row r="137" spans="1:7" ht="17.399999999999999" x14ac:dyDescent="0.3">
      <c r="A137" s="101"/>
      <c r="B137" s="101"/>
      <c r="C137" s="101"/>
      <c r="D137" s="101"/>
      <c r="E137" s="101"/>
      <c r="F137" s="101"/>
      <c r="G137" s="101"/>
    </row>
    <row r="138" spans="1:7" ht="18" x14ac:dyDescent="0.35">
      <c r="A138" s="7" t="s">
        <v>144</v>
      </c>
      <c r="B138" s="8">
        <v>111</v>
      </c>
    </row>
    <row r="139" spans="1:7" ht="15" x14ac:dyDescent="0.3">
      <c r="A139" s="9"/>
    </row>
    <row r="140" spans="1:7" ht="39.75" customHeight="1" x14ac:dyDescent="0.3">
      <c r="A140" s="97" t="s">
        <v>85</v>
      </c>
      <c r="B140" s="416" t="s">
        <v>98</v>
      </c>
      <c r="C140" s="416"/>
      <c r="D140" s="416" t="s">
        <v>99</v>
      </c>
      <c r="E140" s="416"/>
      <c r="F140" s="416" t="s">
        <v>100</v>
      </c>
      <c r="G140" s="416"/>
    </row>
    <row r="141" spans="1:7" ht="20.399999999999999" customHeight="1" x14ac:dyDescent="0.35">
      <c r="A141" s="97">
        <v>1</v>
      </c>
      <c r="B141" s="408">
        <v>2</v>
      </c>
      <c r="C141" s="410"/>
      <c r="D141" s="408">
        <v>3</v>
      </c>
      <c r="E141" s="410"/>
      <c r="F141" s="422">
        <v>4</v>
      </c>
      <c r="G141" s="423"/>
    </row>
    <row r="142" spans="1:7" ht="51.75" customHeight="1" x14ac:dyDescent="0.3">
      <c r="A142" s="202" t="s">
        <v>101</v>
      </c>
      <c r="B142" s="408">
        <v>40</v>
      </c>
      <c r="C142" s="410"/>
      <c r="D142" s="452">
        <v>2762.5</v>
      </c>
      <c r="E142" s="453"/>
      <c r="F142" s="420">
        <f>'гос.задание на 2023-2024 год '!G63</f>
        <v>110500</v>
      </c>
      <c r="G142" s="421"/>
    </row>
    <row r="143" spans="1:7" ht="15.6" customHeight="1" x14ac:dyDescent="0.3">
      <c r="A143" s="13"/>
      <c r="B143" s="14"/>
      <c r="C143" s="14"/>
      <c r="D143" s="14"/>
      <c r="E143" s="14"/>
      <c r="F143" s="15"/>
      <c r="G143" s="15"/>
    </row>
    <row r="144" spans="1:7" ht="17.399999999999999" x14ac:dyDescent="0.3">
      <c r="A144" s="424" t="s">
        <v>225</v>
      </c>
      <c r="B144" s="424"/>
      <c r="C144" s="424"/>
      <c r="D144" s="424"/>
      <c r="E144" s="424"/>
      <c r="F144" s="424"/>
      <c r="G144" s="424"/>
    </row>
    <row r="145" spans="1:7" ht="18" x14ac:dyDescent="0.35">
      <c r="A145" s="7" t="s">
        <v>144</v>
      </c>
      <c r="B145" s="8">
        <v>851</v>
      </c>
    </row>
    <row r="146" spans="1:7" ht="15" x14ac:dyDescent="0.3">
      <c r="A146" s="9"/>
    </row>
    <row r="147" spans="1:7" ht="18" x14ac:dyDescent="0.3">
      <c r="A147" s="115" t="s">
        <v>85</v>
      </c>
      <c r="B147" s="416" t="s">
        <v>108</v>
      </c>
      <c r="C147" s="416"/>
      <c r="D147" s="416" t="s">
        <v>109</v>
      </c>
      <c r="E147" s="416"/>
      <c r="F147" s="416" t="s">
        <v>110</v>
      </c>
      <c r="G147" s="416"/>
    </row>
    <row r="148" spans="1:7" ht="18" x14ac:dyDescent="0.3">
      <c r="A148" s="115">
        <v>1</v>
      </c>
      <c r="B148" s="416">
        <v>2</v>
      </c>
      <c r="C148" s="416"/>
      <c r="D148" s="499">
        <v>3</v>
      </c>
      <c r="E148" s="499"/>
      <c r="F148" s="499">
        <v>4</v>
      </c>
      <c r="G148" s="499"/>
    </row>
    <row r="149" spans="1:7" ht="36" x14ac:dyDescent="0.3">
      <c r="A149" s="11" t="s">
        <v>111</v>
      </c>
      <c r="B149" s="425">
        <v>2063701.82</v>
      </c>
      <c r="C149" s="425"/>
      <c r="D149" s="426">
        <v>2.2000000000000002</v>
      </c>
      <c r="E149" s="426"/>
      <c r="F149" s="417">
        <f>B149*D149%</f>
        <v>45401.440040000009</v>
      </c>
      <c r="G149" s="417"/>
    </row>
    <row r="150" spans="1:7" ht="18" x14ac:dyDescent="0.3">
      <c r="A150" s="411" t="s">
        <v>112</v>
      </c>
      <c r="B150" s="425">
        <v>16752525</v>
      </c>
      <c r="C150" s="425"/>
      <c r="D150" s="567">
        <v>1.5</v>
      </c>
      <c r="E150" s="568"/>
      <c r="F150" s="417">
        <f>B150*D150%</f>
        <v>251287.875</v>
      </c>
      <c r="G150" s="417"/>
    </row>
    <row r="151" spans="1:7" ht="18" x14ac:dyDescent="0.3">
      <c r="A151" s="411"/>
      <c r="B151" s="425">
        <v>7366424</v>
      </c>
      <c r="C151" s="425"/>
      <c r="D151" s="567">
        <v>0.12</v>
      </c>
      <c r="E151" s="568"/>
      <c r="F151" s="417">
        <f>B151*D151%</f>
        <v>8839.7087999999985</v>
      </c>
      <c r="G151" s="417"/>
    </row>
    <row r="152" spans="1:7" ht="18" x14ac:dyDescent="0.3">
      <c r="A152" s="11" t="s">
        <v>361</v>
      </c>
      <c r="B152" s="499"/>
      <c r="C152" s="499"/>
      <c r="D152" s="499"/>
      <c r="E152" s="499"/>
      <c r="F152" s="500">
        <f>'гос.задание на 2023-2024 год '!G69</f>
        <v>305529.02</v>
      </c>
      <c r="G152" s="500"/>
    </row>
    <row r="153" spans="1:7" ht="18" x14ac:dyDescent="0.3">
      <c r="A153" s="13"/>
      <c r="B153" s="14"/>
      <c r="C153" s="14"/>
      <c r="D153" s="14"/>
      <c r="E153" s="14"/>
      <c r="F153" s="72"/>
      <c r="G153" s="72"/>
    </row>
    <row r="154" spans="1:7" ht="18" x14ac:dyDescent="0.3">
      <c r="A154" s="7" t="s">
        <v>113</v>
      </c>
    </row>
    <row r="155" spans="1:7" ht="15" x14ac:dyDescent="0.3">
      <c r="A155" s="9"/>
    </row>
    <row r="156" spans="1:7" ht="18" x14ac:dyDescent="0.3">
      <c r="A156" s="97" t="s">
        <v>85</v>
      </c>
      <c r="B156" s="416" t="s">
        <v>108</v>
      </c>
      <c r="C156" s="416"/>
      <c r="D156" s="416" t="s">
        <v>109</v>
      </c>
      <c r="E156" s="416"/>
      <c r="F156" s="416" t="s">
        <v>114</v>
      </c>
      <c r="G156" s="416"/>
    </row>
    <row r="157" spans="1:7" ht="17.25" customHeight="1" x14ac:dyDescent="0.35">
      <c r="A157" s="97">
        <v>1</v>
      </c>
      <c r="B157" s="408">
        <v>2</v>
      </c>
      <c r="C157" s="410"/>
      <c r="D157" s="408">
        <v>3</v>
      </c>
      <c r="E157" s="410"/>
      <c r="F157" s="422">
        <v>4</v>
      </c>
      <c r="G157" s="423"/>
    </row>
    <row r="158" spans="1:7" ht="18" x14ac:dyDescent="0.3">
      <c r="A158" s="11" t="s">
        <v>115</v>
      </c>
      <c r="B158" s="408" t="s">
        <v>116</v>
      </c>
      <c r="C158" s="410"/>
      <c r="D158" s="408" t="s">
        <v>116</v>
      </c>
      <c r="E158" s="410"/>
      <c r="F158" s="420">
        <f>'гос.задание на 2023-2024 год '!G70</f>
        <v>11960</v>
      </c>
      <c r="G158" s="512"/>
    </row>
    <row r="159" spans="1:7" ht="15.75" customHeight="1" x14ac:dyDescent="0.3">
      <c r="A159" s="7"/>
    </row>
    <row r="160" spans="1:7" ht="15.75" customHeight="1" x14ac:dyDescent="0.3">
      <c r="A160" s="7"/>
    </row>
    <row r="161" spans="1:7" ht="15.75" customHeight="1" x14ac:dyDescent="0.3">
      <c r="A161" s="7"/>
    </row>
    <row r="162" spans="1:7" ht="15.75" customHeight="1" x14ac:dyDescent="0.3">
      <c r="A162" s="7"/>
    </row>
    <row r="163" spans="1:7" ht="15.75" customHeight="1" x14ac:dyDescent="0.3">
      <c r="A163" s="7"/>
    </row>
    <row r="164" spans="1:7" ht="15.75" customHeight="1" x14ac:dyDescent="0.3">
      <c r="A164" s="7"/>
    </row>
    <row r="165" spans="1:7" ht="15.75" customHeight="1" x14ac:dyDescent="0.3">
      <c r="A165" s="7"/>
    </row>
    <row r="166" spans="1:7" ht="17.399999999999999" x14ac:dyDescent="0.3">
      <c r="A166" s="424" t="s">
        <v>213</v>
      </c>
      <c r="B166" s="424"/>
      <c r="C166" s="424"/>
      <c r="D166" s="424"/>
      <c r="E166" s="424"/>
      <c r="F166" s="424"/>
      <c r="G166" s="424"/>
    </row>
    <row r="167" spans="1:7" ht="17.399999999999999" x14ac:dyDescent="0.3">
      <c r="A167" s="101"/>
      <c r="B167" s="101"/>
      <c r="C167" s="101"/>
      <c r="D167" s="101"/>
      <c r="E167" s="101"/>
      <c r="F167" s="101"/>
      <c r="G167" s="101"/>
    </row>
    <row r="168" spans="1:7" ht="17.399999999999999" x14ac:dyDescent="0.3">
      <c r="A168" s="415" t="s">
        <v>215</v>
      </c>
      <c r="B168" s="415"/>
      <c r="C168" s="415"/>
      <c r="D168" s="415"/>
      <c r="E168" s="415"/>
      <c r="F168" s="415"/>
      <c r="G168" s="415"/>
    </row>
    <row r="169" spans="1:7" ht="18" x14ac:dyDescent="0.3">
      <c r="A169" s="7"/>
    </row>
    <row r="170" spans="1:7" ht="18" x14ac:dyDescent="0.3">
      <c r="A170" s="7" t="s">
        <v>144</v>
      </c>
      <c r="B170" s="7">
        <v>244</v>
      </c>
    </row>
    <row r="171" spans="1:7" ht="17.399999999999999" x14ac:dyDescent="0.3">
      <c r="A171" s="6"/>
    </row>
    <row r="172" spans="1:7" ht="40.5" customHeight="1" x14ac:dyDescent="0.3">
      <c r="A172" s="408" t="s">
        <v>85</v>
      </c>
      <c r="B172" s="410"/>
      <c r="C172" s="206" t="s">
        <v>120</v>
      </c>
      <c r="D172" s="416" t="s">
        <v>121</v>
      </c>
      <c r="E172" s="416"/>
      <c r="F172" s="416" t="s">
        <v>185</v>
      </c>
      <c r="G172" s="416"/>
    </row>
    <row r="173" spans="1:7" ht="18" x14ac:dyDescent="0.3">
      <c r="A173" s="571">
        <v>1</v>
      </c>
      <c r="B173" s="572"/>
      <c r="C173" s="208">
        <v>2</v>
      </c>
      <c r="D173" s="408">
        <v>3</v>
      </c>
      <c r="E173" s="410"/>
      <c r="F173" s="559">
        <v>4</v>
      </c>
      <c r="G173" s="560"/>
    </row>
    <row r="174" spans="1:7" ht="18" x14ac:dyDescent="0.3">
      <c r="A174" s="492" t="s">
        <v>122</v>
      </c>
      <c r="B174" s="493"/>
      <c r="C174" s="210">
        <v>13</v>
      </c>
      <c r="D174" s="488">
        <v>357</v>
      </c>
      <c r="E174" s="488"/>
      <c r="F174" s="488">
        <f>C174*D174*12</f>
        <v>55692</v>
      </c>
      <c r="G174" s="488"/>
    </row>
    <row r="175" spans="1:7" ht="18" x14ac:dyDescent="0.3">
      <c r="A175" s="492" t="s">
        <v>359</v>
      </c>
      <c r="B175" s="493"/>
      <c r="C175" s="210">
        <v>7</v>
      </c>
      <c r="D175" s="488">
        <v>59</v>
      </c>
      <c r="E175" s="488"/>
      <c r="F175" s="488">
        <f>C175*D175*12</f>
        <v>4956</v>
      </c>
      <c r="G175" s="488"/>
    </row>
    <row r="176" spans="1:7" ht="17.399999999999999" customHeight="1" x14ac:dyDescent="0.3">
      <c r="A176" s="573" t="s">
        <v>360</v>
      </c>
      <c r="B176" s="574"/>
      <c r="C176" s="210">
        <v>5</v>
      </c>
      <c r="D176" s="488">
        <v>499.7</v>
      </c>
      <c r="E176" s="488"/>
      <c r="F176" s="488">
        <f>C176*D176*12</f>
        <v>29982</v>
      </c>
      <c r="G176" s="488"/>
    </row>
    <row r="177" spans="1:8" ht="18.75" customHeight="1" x14ac:dyDescent="0.3">
      <c r="A177" s="412" t="s">
        <v>361</v>
      </c>
      <c r="B177" s="413"/>
      <c r="C177" s="167"/>
      <c r="D177" s="559"/>
      <c r="E177" s="560"/>
      <c r="F177" s="561">
        <f>'гос.задание на 2023-2024 год '!G34</f>
        <v>90630</v>
      </c>
      <c r="G177" s="562"/>
    </row>
    <row r="178" spans="1:8" ht="17.25" customHeight="1" x14ac:dyDescent="0.3">
      <c r="A178" s="21"/>
    </row>
    <row r="179" spans="1:8" ht="17.25" customHeight="1" x14ac:dyDescent="0.3">
      <c r="A179" s="415" t="s">
        <v>217</v>
      </c>
      <c r="B179" s="415"/>
      <c r="C179" s="415"/>
      <c r="D179" s="415"/>
      <c r="E179" s="415"/>
      <c r="F179" s="415"/>
      <c r="G179" s="415"/>
    </row>
    <row r="180" spans="1:8" ht="17.25" customHeight="1" x14ac:dyDescent="0.3">
      <c r="A180" s="7"/>
    </row>
    <row r="181" spans="1:8" ht="17.25" customHeight="1" x14ac:dyDescent="0.35">
      <c r="A181" s="7" t="s">
        <v>144</v>
      </c>
      <c r="B181" s="8">
        <v>244</v>
      </c>
    </row>
    <row r="182" spans="1:8" ht="17.399999999999999" x14ac:dyDescent="0.3">
      <c r="A182" s="6"/>
    </row>
    <row r="183" spans="1:8" ht="60.75" customHeight="1" x14ac:dyDescent="0.3">
      <c r="A183" s="416" t="s">
        <v>85</v>
      </c>
      <c r="B183" s="416"/>
      <c r="C183" s="294" t="s">
        <v>125</v>
      </c>
      <c r="D183" s="416" t="s">
        <v>126</v>
      </c>
      <c r="E183" s="416"/>
      <c r="F183" s="416" t="s">
        <v>93</v>
      </c>
      <c r="G183" s="416"/>
    </row>
    <row r="184" spans="1:8" ht="18" x14ac:dyDescent="0.3">
      <c r="A184" s="416">
        <v>1</v>
      </c>
      <c r="B184" s="416"/>
      <c r="C184" s="294">
        <v>2</v>
      </c>
      <c r="D184" s="416">
        <v>3</v>
      </c>
      <c r="E184" s="416"/>
      <c r="F184" s="416">
        <v>4</v>
      </c>
      <c r="G184" s="416"/>
    </row>
    <row r="185" spans="1:8" ht="41.25" customHeight="1" x14ac:dyDescent="0.3">
      <c r="A185" s="411" t="s">
        <v>21</v>
      </c>
      <c r="B185" s="411"/>
      <c r="C185" s="355">
        <v>3124.8502400000002</v>
      </c>
      <c r="D185" s="417">
        <v>96.22</v>
      </c>
      <c r="E185" s="417"/>
      <c r="F185" s="417">
        <f>'Закупки гос.зад на 2023-2024'!H77</f>
        <v>300673.09000000003</v>
      </c>
      <c r="G185" s="417"/>
    </row>
    <row r="186" spans="1:8" ht="36.75" customHeight="1" x14ac:dyDescent="0.3">
      <c r="A186" s="411" t="s">
        <v>22</v>
      </c>
      <c r="B186" s="411"/>
      <c r="C186" s="294">
        <v>359.50378999999998</v>
      </c>
      <c r="D186" s="417">
        <v>376.96</v>
      </c>
      <c r="E186" s="417"/>
      <c r="F186" s="417">
        <f>'гос.задание на 2023-2024 год '!H47</f>
        <v>135518.54999999999</v>
      </c>
      <c r="G186" s="417"/>
      <c r="H186" s="299"/>
    </row>
    <row r="187" spans="1:8" ht="17.399999999999999" customHeight="1" x14ac:dyDescent="0.3">
      <c r="A187" s="416" t="s">
        <v>361</v>
      </c>
      <c r="B187" s="416"/>
      <c r="C187" s="294"/>
      <c r="D187" s="417"/>
      <c r="E187" s="417"/>
      <c r="F187" s="417">
        <f>SUM(F185:G186)</f>
        <v>436191.64</v>
      </c>
      <c r="G187" s="417"/>
    </row>
    <row r="188" spans="1:8" ht="17.399999999999999" customHeight="1" x14ac:dyDescent="0.3">
      <c r="A188" s="17"/>
      <c r="B188" s="17"/>
      <c r="C188" s="17"/>
      <c r="D188" s="292"/>
      <c r="E188" s="292"/>
      <c r="F188" s="292"/>
      <c r="G188" s="292"/>
    </row>
    <row r="189" spans="1:8" ht="19.95" customHeight="1" x14ac:dyDescent="0.35">
      <c r="A189" s="7" t="s">
        <v>144</v>
      </c>
      <c r="B189" s="8">
        <v>247</v>
      </c>
    </row>
    <row r="190" spans="1:8" ht="22.95" customHeight="1" x14ac:dyDescent="0.3">
      <c r="A190" s="6"/>
    </row>
    <row r="191" spans="1:8" ht="35.4" customHeight="1" x14ac:dyDescent="0.3">
      <c r="A191" s="416" t="s">
        <v>85</v>
      </c>
      <c r="B191" s="416"/>
      <c r="C191" s="115" t="s">
        <v>125</v>
      </c>
      <c r="D191" s="416" t="s">
        <v>126</v>
      </c>
      <c r="E191" s="416"/>
      <c r="F191" s="416" t="s">
        <v>93</v>
      </c>
      <c r="G191" s="416"/>
    </row>
    <row r="192" spans="1:8" ht="19.5" customHeight="1" x14ac:dyDescent="0.3">
      <c r="A192" s="416">
        <v>1</v>
      </c>
      <c r="B192" s="416"/>
      <c r="C192" s="115">
        <v>2</v>
      </c>
      <c r="D192" s="416">
        <v>3</v>
      </c>
      <c r="E192" s="416"/>
      <c r="F192" s="416">
        <v>4</v>
      </c>
      <c r="G192" s="416"/>
    </row>
    <row r="193" spans="1:8" ht="39.6" customHeight="1" x14ac:dyDescent="0.3">
      <c r="A193" s="411" t="s">
        <v>18</v>
      </c>
      <c r="B193" s="411"/>
      <c r="C193" s="115">
        <v>879.43215499999997</v>
      </c>
      <c r="D193" s="417">
        <v>2577.5</v>
      </c>
      <c r="E193" s="417"/>
      <c r="F193" s="417">
        <f>'гос.задание на 2023-2024 год '!G43</f>
        <v>2266736.38</v>
      </c>
      <c r="G193" s="417"/>
      <c r="H193" s="44"/>
    </row>
    <row r="194" spans="1:8" ht="36" customHeight="1" x14ac:dyDescent="0.3">
      <c r="A194" s="411" t="s">
        <v>20</v>
      </c>
      <c r="B194" s="411"/>
      <c r="C194" s="115">
        <v>62485.137889999998</v>
      </c>
      <c r="D194" s="417">
        <v>9.5</v>
      </c>
      <c r="E194" s="417"/>
      <c r="F194" s="417">
        <f>'гос.задание на 2023-2024 год '!G45</f>
        <v>593608.81000000006</v>
      </c>
      <c r="G194" s="417"/>
      <c r="H194" s="44"/>
    </row>
    <row r="195" spans="1:8" ht="18" x14ac:dyDescent="0.3">
      <c r="A195" s="416" t="s">
        <v>361</v>
      </c>
      <c r="B195" s="416"/>
      <c r="C195" s="231"/>
      <c r="D195" s="417"/>
      <c r="E195" s="417"/>
      <c r="F195" s="417">
        <f>SUM(F193:F194)</f>
        <v>2860345.19</v>
      </c>
      <c r="G195" s="417"/>
    </row>
    <row r="196" spans="1:8" ht="34.5" customHeight="1" x14ac:dyDescent="0.3">
      <c r="A196" s="23"/>
      <c r="B196" s="24"/>
      <c r="C196" s="24"/>
      <c r="D196" s="24"/>
      <c r="E196" s="24"/>
      <c r="F196" s="24"/>
      <c r="G196" s="24"/>
    </row>
    <row r="197" spans="1:8" ht="32.25" customHeight="1" x14ac:dyDescent="0.3">
      <c r="A197" s="441" t="s">
        <v>436</v>
      </c>
      <c r="B197" s="441"/>
      <c r="C197" s="441"/>
      <c r="D197" s="441"/>
      <c r="E197" s="441"/>
      <c r="F197" s="441"/>
      <c r="G197" s="441"/>
    </row>
    <row r="198" spans="1:8" ht="18" x14ac:dyDescent="0.3">
      <c r="A198" s="7"/>
    </row>
    <row r="199" spans="1:8" ht="18" x14ac:dyDescent="0.35">
      <c r="A199" s="7" t="s">
        <v>144</v>
      </c>
      <c r="B199" s="8">
        <v>244</v>
      </c>
    </row>
    <row r="200" spans="1:8" ht="17.399999999999999" x14ac:dyDescent="0.3">
      <c r="A200" s="6"/>
    </row>
    <row r="201" spans="1:8" ht="37.5" customHeight="1" x14ac:dyDescent="0.3">
      <c r="A201" s="416" t="s">
        <v>85</v>
      </c>
      <c r="B201" s="416"/>
      <c r="C201" s="416"/>
      <c r="D201" s="416" t="s">
        <v>130</v>
      </c>
      <c r="E201" s="416"/>
      <c r="F201" s="416" t="s">
        <v>131</v>
      </c>
      <c r="G201" s="416"/>
    </row>
    <row r="202" spans="1:8" ht="18" x14ac:dyDescent="0.35">
      <c r="A202" s="416">
        <v>1</v>
      </c>
      <c r="B202" s="416"/>
      <c r="C202" s="416"/>
      <c r="D202" s="422">
        <v>2</v>
      </c>
      <c r="E202" s="423"/>
      <c r="F202" s="422">
        <v>3</v>
      </c>
      <c r="G202" s="423"/>
    </row>
    <row r="203" spans="1:8" ht="24.75" customHeight="1" x14ac:dyDescent="0.3">
      <c r="A203" s="444" t="s">
        <v>362</v>
      </c>
      <c r="B203" s="444"/>
      <c r="C203" s="444"/>
      <c r="D203" s="589">
        <v>8</v>
      </c>
      <c r="E203" s="589"/>
      <c r="F203" s="440">
        <v>80000</v>
      </c>
      <c r="G203" s="440"/>
    </row>
    <row r="204" spans="1:8" ht="36.75" customHeight="1" x14ac:dyDescent="0.3">
      <c r="A204" s="444" t="s">
        <v>363</v>
      </c>
      <c r="B204" s="444"/>
      <c r="C204" s="444"/>
      <c r="D204" s="588">
        <v>12</v>
      </c>
      <c r="E204" s="588"/>
      <c r="F204" s="440">
        <v>16902.560000000001</v>
      </c>
      <c r="G204" s="440"/>
    </row>
    <row r="205" spans="1:8" ht="37.950000000000003" customHeight="1" x14ac:dyDescent="0.3">
      <c r="A205" s="444" t="s">
        <v>364</v>
      </c>
      <c r="B205" s="444"/>
      <c r="C205" s="444"/>
      <c r="D205" s="589">
        <v>12</v>
      </c>
      <c r="E205" s="589"/>
      <c r="F205" s="440">
        <v>66306.759999999995</v>
      </c>
      <c r="G205" s="440"/>
    </row>
    <row r="206" spans="1:8" ht="36.6" customHeight="1" x14ac:dyDescent="0.3">
      <c r="A206" s="444" t="s">
        <v>365</v>
      </c>
      <c r="B206" s="444"/>
      <c r="C206" s="444"/>
      <c r="D206" s="589">
        <v>12</v>
      </c>
      <c r="E206" s="589"/>
      <c r="F206" s="440">
        <v>10577.35</v>
      </c>
      <c r="G206" s="440"/>
    </row>
    <row r="207" spans="1:8" ht="18" x14ac:dyDescent="0.35">
      <c r="A207" s="411" t="s">
        <v>361</v>
      </c>
      <c r="B207" s="411"/>
      <c r="C207" s="411"/>
      <c r="D207" s="474"/>
      <c r="E207" s="474"/>
      <c r="F207" s="466">
        <f>'гос.задание на 2023-2024 год '!G51</f>
        <v>173786.67</v>
      </c>
      <c r="G207" s="466"/>
    </row>
    <row r="208" spans="1:8" ht="18" x14ac:dyDescent="0.3">
      <c r="A208" s="27"/>
    </row>
    <row r="209" spans="1:7" ht="18" x14ac:dyDescent="0.3">
      <c r="A209" s="27"/>
    </row>
    <row r="210" spans="1:7" ht="18" x14ac:dyDescent="0.3">
      <c r="A210" s="27"/>
    </row>
    <row r="211" spans="1:7" ht="18" x14ac:dyDescent="0.3">
      <c r="A211" s="27"/>
    </row>
    <row r="212" spans="1:7" ht="18" x14ac:dyDescent="0.3">
      <c r="A212" s="27"/>
    </row>
    <row r="213" spans="1:7" ht="18" x14ac:dyDescent="0.3">
      <c r="A213" s="27"/>
    </row>
    <row r="214" spans="1:7" ht="17.399999999999999" x14ac:dyDescent="0.3">
      <c r="A214" s="415" t="s">
        <v>220</v>
      </c>
      <c r="B214" s="415"/>
      <c r="C214" s="415"/>
      <c r="D214" s="415"/>
      <c r="E214" s="415"/>
      <c r="F214" s="415"/>
      <c r="G214" s="415"/>
    </row>
    <row r="215" spans="1:7" ht="18" x14ac:dyDescent="0.3">
      <c r="A215" s="7"/>
    </row>
    <row r="216" spans="1:7" ht="18" x14ac:dyDescent="0.35">
      <c r="A216" s="7" t="s">
        <v>144</v>
      </c>
      <c r="B216" s="8">
        <v>244</v>
      </c>
    </row>
    <row r="217" spans="1:7" ht="17.399999999999999" x14ac:dyDescent="0.3">
      <c r="A217" s="6"/>
    </row>
    <row r="218" spans="1:7" ht="26.4" customHeight="1" x14ac:dyDescent="0.3">
      <c r="A218" s="416" t="s">
        <v>85</v>
      </c>
      <c r="B218" s="416"/>
      <c r="C218" s="416"/>
      <c r="D218" s="416" t="s">
        <v>136</v>
      </c>
      <c r="E218" s="416"/>
      <c r="F218" s="416" t="s">
        <v>137</v>
      </c>
      <c r="G218" s="416"/>
    </row>
    <row r="219" spans="1:7" ht="18" x14ac:dyDescent="0.35">
      <c r="A219" s="408">
        <v>1</v>
      </c>
      <c r="B219" s="409"/>
      <c r="C219" s="410"/>
      <c r="D219" s="422">
        <v>2</v>
      </c>
      <c r="E219" s="423"/>
      <c r="F219" s="422">
        <v>3</v>
      </c>
      <c r="G219" s="423"/>
    </row>
    <row r="220" spans="1:7" ht="18" x14ac:dyDescent="0.3">
      <c r="A220" s="443" t="s">
        <v>368</v>
      </c>
      <c r="B220" s="443"/>
      <c r="C220" s="443"/>
      <c r="D220" s="475">
        <v>1</v>
      </c>
      <c r="E220" s="475"/>
      <c r="F220" s="440">
        <v>86000</v>
      </c>
      <c r="G220" s="440"/>
    </row>
    <row r="221" spans="1:7" ht="18" x14ac:dyDescent="0.3">
      <c r="A221" s="443" t="s">
        <v>139</v>
      </c>
      <c r="B221" s="443"/>
      <c r="C221" s="443"/>
      <c r="D221" s="475">
        <v>4</v>
      </c>
      <c r="E221" s="475"/>
      <c r="F221" s="440">
        <f>1425206+140282.11</f>
        <v>1565488.1099999999</v>
      </c>
      <c r="G221" s="440"/>
    </row>
    <row r="222" spans="1:7" ht="22.2" customHeight="1" x14ac:dyDescent="0.3">
      <c r="A222" s="443" t="s">
        <v>140</v>
      </c>
      <c r="B222" s="443"/>
      <c r="C222" s="443"/>
      <c r="D222" s="475">
        <v>6</v>
      </c>
      <c r="E222" s="475"/>
      <c r="F222" s="440">
        <v>33000</v>
      </c>
      <c r="G222" s="440"/>
    </row>
    <row r="223" spans="1:7" ht="18.75" customHeight="1" x14ac:dyDescent="0.3">
      <c r="A223" s="444" t="s">
        <v>366</v>
      </c>
      <c r="B223" s="444"/>
      <c r="C223" s="444"/>
      <c r="D223" s="475">
        <v>3</v>
      </c>
      <c r="E223" s="475"/>
      <c r="F223" s="440">
        <v>24000</v>
      </c>
      <c r="G223" s="440"/>
    </row>
    <row r="224" spans="1:7" ht="18" x14ac:dyDescent="0.3">
      <c r="A224" s="444" t="s">
        <v>367</v>
      </c>
      <c r="B224" s="444"/>
      <c r="C224" s="444"/>
      <c r="D224" s="475">
        <v>3</v>
      </c>
      <c r="E224" s="475"/>
      <c r="F224" s="440">
        <v>19500.29</v>
      </c>
      <c r="G224" s="440"/>
    </row>
    <row r="225" spans="1:7" ht="18" x14ac:dyDescent="0.35">
      <c r="A225" s="412" t="s">
        <v>361</v>
      </c>
      <c r="B225" s="413"/>
      <c r="C225" s="414"/>
      <c r="D225" s="584"/>
      <c r="E225" s="585"/>
      <c r="F225" s="447">
        <f>'гос.задание на 2023-2024 год '!G57</f>
        <v>1727988.4</v>
      </c>
      <c r="G225" s="449"/>
    </row>
    <row r="226" spans="1:7" ht="17.399999999999999" x14ac:dyDescent="0.3">
      <c r="A226" s="6"/>
    </row>
    <row r="227" spans="1:7" ht="18" customHeight="1" x14ac:dyDescent="0.3">
      <c r="A227" s="415" t="s">
        <v>221</v>
      </c>
      <c r="B227" s="415"/>
      <c r="C227" s="415"/>
      <c r="D227" s="415"/>
      <c r="E227" s="415"/>
      <c r="F227" s="415"/>
      <c r="G227" s="415"/>
    </row>
    <row r="228" spans="1:7" ht="16.95" customHeight="1" x14ac:dyDescent="0.3">
      <c r="A228" s="7"/>
    </row>
    <row r="229" spans="1:7" ht="18" x14ac:dyDescent="0.35">
      <c r="A229" s="7" t="s">
        <v>144</v>
      </c>
      <c r="B229" s="8">
        <v>244</v>
      </c>
    </row>
    <row r="230" spans="1:7" ht="30" customHeight="1" x14ac:dyDescent="0.3">
      <c r="A230" s="6"/>
    </row>
    <row r="231" spans="1:7" ht="19.5" customHeight="1" x14ac:dyDescent="0.3">
      <c r="A231" s="408" t="s">
        <v>85</v>
      </c>
      <c r="B231" s="410"/>
      <c r="C231" s="408" t="s">
        <v>136</v>
      </c>
      <c r="D231" s="410"/>
      <c r="E231" s="408" t="s">
        <v>137</v>
      </c>
      <c r="F231" s="409"/>
      <c r="G231" s="410"/>
    </row>
    <row r="232" spans="1:7" ht="18" x14ac:dyDescent="0.35">
      <c r="A232" s="408">
        <v>1</v>
      </c>
      <c r="B232" s="410"/>
      <c r="C232" s="408">
        <v>2</v>
      </c>
      <c r="D232" s="410"/>
      <c r="E232" s="422">
        <v>3</v>
      </c>
      <c r="F232" s="450"/>
      <c r="G232" s="423"/>
    </row>
    <row r="233" spans="1:7" ht="18" x14ac:dyDescent="0.35">
      <c r="A233" s="412" t="s">
        <v>25</v>
      </c>
      <c r="B233" s="414"/>
      <c r="C233" s="408">
        <v>2</v>
      </c>
      <c r="D233" s="410"/>
      <c r="E233" s="447">
        <f>'гос.задание на 2023-2024 год '!G58</f>
        <v>15000</v>
      </c>
      <c r="F233" s="448"/>
      <c r="G233" s="449"/>
    </row>
    <row r="234" spans="1:7" ht="17.399999999999999" customHeight="1" x14ac:dyDescent="0.3">
      <c r="A234" s="21"/>
    </row>
    <row r="235" spans="1:7" ht="19.2" customHeight="1" x14ac:dyDescent="0.3">
      <c r="A235" s="424" t="s">
        <v>224</v>
      </c>
      <c r="B235" s="424"/>
      <c r="C235" s="424"/>
      <c r="D235" s="424"/>
      <c r="E235" s="424"/>
      <c r="F235" s="424"/>
      <c r="G235" s="424"/>
    </row>
    <row r="236" spans="1:7" ht="18" x14ac:dyDescent="0.3">
      <c r="A236" s="7"/>
    </row>
    <row r="237" spans="1:7" ht="17.25" customHeight="1" x14ac:dyDescent="0.35">
      <c r="A237" s="7" t="s">
        <v>144</v>
      </c>
      <c r="B237" s="8">
        <v>244</v>
      </c>
    </row>
    <row r="238" spans="1:7" ht="17.399999999999999" x14ac:dyDescent="0.3">
      <c r="A238" s="6"/>
    </row>
    <row r="239" spans="1:7" ht="18" x14ac:dyDescent="0.3">
      <c r="A239" s="408" t="s">
        <v>85</v>
      </c>
      <c r="B239" s="410"/>
      <c r="C239" s="156" t="s">
        <v>141</v>
      </c>
      <c r="D239" s="416" t="s">
        <v>142</v>
      </c>
      <c r="E239" s="416"/>
      <c r="F239" s="416" t="s">
        <v>149</v>
      </c>
      <c r="G239" s="416"/>
    </row>
    <row r="240" spans="1:7" ht="16.95" customHeight="1" x14ac:dyDescent="0.3">
      <c r="A240" s="408">
        <v>1</v>
      </c>
      <c r="B240" s="410"/>
      <c r="C240" s="159">
        <v>2</v>
      </c>
      <c r="D240" s="408">
        <v>3</v>
      </c>
      <c r="E240" s="410"/>
      <c r="F240" s="408">
        <v>4</v>
      </c>
      <c r="G240" s="410"/>
    </row>
    <row r="241" spans="1:7" ht="18" customHeight="1" x14ac:dyDescent="0.3">
      <c r="A241" s="444" t="s">
        <v>369</v>
      </c>
      <c r="B241" s="444"/>
      <c r="C241" s="177">
        <v>1410</v>
      </c>
      <c r="D241" s="425">
        <v>59.4</v>
      </c>
      <c r="E241" s="425"/>
      <c r="F241" s="586">
        <f>C241*D241</f>
        <v>83754</v>
      </c>
      <c r="G241" s="586"/>
    </row>
    <row r="242" spans="1:7" ht="18" x14ac:dyDescent="0.3">
      <c r="A242" s="444" t="s">
        <v>370</v>
      </c>
      <c r="B242" s="444"/>
      <c r="C242" s="177">
        <v>140</v>
      </c>
      <c r="D242" s="425">
        <v>124.7</v>
      </c>
      <c r="E242" s="425"/>
      <c r="F242" s="586">
        <f>C242*D242</f>
        <v>17458</v>
      </c>
      <c r="G242" s="586"/>
    </row>
    <row r="243" spans="1:7" ht="18" x14ac:dyDescent="0.3">
      <c r="A243" s="444" t="s">
        <v>371</v>
      </c>
      <c r="B243" s="444"/>
      <c r="C243" s="170">
        <v>50</v>
      </c>
      <c r="D243" s="461">
        <v>950.06</v>
      </c>
      <c r="E243" s="461"/>
      <c r="F243" s="460">
        <f>C243*D243</f>
        <v>47503</v>
      </c>
      <c r="G243" s="460"/>
    </row>
    <row r="244" spans="1:7" ht="18" x14ac:dyDescent="0.3">
      <c r="A244" s="444" t="s">
        <v>373</v>
      </c>
      <c r="B244" s="444"/>
      <c r="C244" s="170">
        <v>950</v>
      </c>
      <c r="D244" s="461">
        <v>161.30000000000001</v>
      </c>
      <c r="E244" s="461"/>
      <c r="F244" s="460">
        <f>C244*D244</f>
        <v>153235</v>
      </c>
      <c r="G244" s="460"/>
    </row>
    <row r="245" spans="1:7" ht="18" x14ac:dyDescent="0.3">
      <c r="A245" s="458" t="s">
        <v>372</v>
      </c>
      <c r="B245" s="459"/>
      <c r="C245" s="170">
        <v>200</v>
      </c>
      <c r="D245" s="461">
        <v>450</v>
      </c>
      <c r="E245" s="461"/>
      <c r="F245" s="460">
        <f>C245*D245</f>
        <v>90000</v>
      </c>
      <c r="G245" s="460"/>
    </row>
    <row r="246" spans="1:7" ht="18" x14ac:dyDescent="0.3">
      <c r="A246" s="412" t="s">
        <v>241</v>
      </c>
      <c r="B246" s="413"/>
      <c r="C246" s="167"/>
      <c r="D246" s="559"/>
      <c r="E246" s="560"/>
      <c r="F246" s="561">
        <f>'гос.задание на 2023-2024 год '!G98</f>
        <v>391950</v>
      </c>
      <c r="G246" s="562"/>
    </row>
    <row r="247" spans="1:7" ht="18" x14ac:dyDescent="0.3">
      <c r="A247" s="13"/>
      <c r="B247" s="14"/>
      <c r="C247" s="14"/>
      <c r="D247" s="14"/>
      <c r="E247" s="14"/>
      <c r="F247" s="72"/>
      <c r="G247" s="72"/>
    </row>
    <row r="248" spans="1:7" ht="18" x14ac:dyDescent="0.35">
      <c r="A248" s="395" t="s">
        <v>150</v>
      </c>
      <c r="B248" s="395"/>
      <c r="C248" s="400"/>
      <c r="D248" s="400"/>
      <c r="E248" s="8"/>
      <c r="F248" s="400" t="s">
        <v>267</v>
      </c>
      <c r="G248" s="400"/>
    </row>
    <row r="249" spans="1:7" ht="18" x14ac:dyDescent="0.35">
      <c r="A249" s="27"/>
      <c r="B249" s="8"/>
      <c r="C249" s="401" t="s">
        <v>53</v>
      </c>
      <c r="D249" s="401"/>
      <c r="E249" s="8"/>
      <c r="F249" s="401" t="s">
        <v>54</v>
      </c>
      <c r="G249" s="401"/>
    </row>
    <row r="250" spans="1:7" ht="18" x14ac:dyDescent="0.35">
      <c r="A250" s="27"/>
      <c r="B250" s="8"/>
      <c r="C250" s="95"/>
      <c r="D250" s="95"/>
      <c r="E250" s="8"/>
      <c r="F250" s="95"/>
      <c r="G250" s="95"/>
    </row>
    <row r="251" spans="1:7" ht="18" x14ac:dyDescent="0.35">
      <c r="A251" s="395" t="s">
        <v>151</v>
      </c>
      <c r="B251" s="395"/>
      <c r="C251" s="400"/>
      <c r="D251" s="400"/>
      <c r="E251" s="8"/>
      <c r="F251" s="400" t="s">
        <v>464</v>
      </c>
      <c r="G251" s="400"/>
    </row>
    <row r="252" spans="1:7" ht="18" x14ac:dyDescent="0.35">
      <c r="A252" s="27"/>
      <c r="B252" s="8"/>
      <c r="C252" s="401" t="s">
        <v>53</v>
      </c>
      <c r="D252" s="401"/>
      <c r="E252" s="8"/>
      <c r="F252" s="401" t="s">
        <v>54</v>
      </c>
      <c r="G252" s="401"/>
    </row>
    <row r="253" spans="1:7" ht="18" x14ac:dyDescent="0.35">
      <c r="A253" s="27"/>
      <c r="B253" s="8"/>
      <c r="C253" s="95"/>
      <c r="D253" s="95"/>
      <c r="E253" s="8"/>
      <c r="F253" s="95"/>
      <c r="G253" s="95"/>
    </row>
    <row r="254" spans="1:7" ht="18" x14ac:dyDescent="0.35">
      <c r="A254" s="27" t="s">
        <v>152</v>
      </c>
      <c r="B254" s="8"/>
      <c r="C254" s="400"/>
      <c r="D254" s="400"/>
      <c r="E254" s="8"/>
      <c r="F254" s="400" t="s">
        <v>268</v>
      </c>
      <c r="G254" s="400"/>
    </row>
    <row r="255" spans="1:7" ht="18" x14ac:dyDescent="0.35">
      <c r="A255" s="27"/>
      <c r="B255" s="8"/>
      <c r="C255" s="401" t="s">
        <v>53</v>
      </c>
      <c r="D255" s="401"/>
      <c r="E255" s="8"/>
      <c r="F255" s="401" t="s">
        <v>54</v>
      </c>
      <c r="G255" s="401"/>
    </row>
    <row r="256" spans="1:7" ht="18" x14ac:dyDescent="0.35">
      <c r="A256" s="396" t="s">
        <v>428</v>
      </c>
      <c r="B256" s="396"/>
      <c r="C256" s="8"/>
      <c r="D256" s="8"/>
      <c r="E256" s="8"/>
      <c r="F256" s="8"/>
      <c r="G256" s="8"/>
    </row>
    <row r="257" spans="1:7" ht="18" x14ac:dyDescent="0.35">
      <c r="A257" s="396" t="s">
        <v>483</v>
      </c>
      <c r="B257" s="396"/>
      <c r="C257" s="8"/>
      <c r="D257" s="8"/>
      <c r="E257" s="8"/>
      <c r="F257" s="8"/>
      <c r="G257" s="8"/>
    </row>
  </sheetData>
  <mergeCells count="227">
    <mergeCell ref="A185:B185"/>
    <mergeCell ref="D185:E185"/>
    <mergeCell ref="F185:G185"/>
    <mergeCell ref="A235:G235"/>
    <mergeCell ref="D239:E239"/>
    <mergeCell ref="F239:G239"/>
    <mergeCell ref="D240:E240"/>
    <mergeCell ref="F240:G240"/>
    <mergeCell ref="A248:B248"/>
    <mergeCell ref="D246:E246"/>
    <mergeCell ref="F246:G246"/>
    <mergeCell ref="A239:B239"/>
    <mergeCell ref="F224:G224"/>
    <mergeCell ref="A227:G227"/>
    <mergeCell ref="A231:B231"/>
    <mergeCell ref="C231:D231"/>
    <mergeCell ref="E231:G231"/>
    <mergeCell ref="A232:B232"/>
    <mergeCell ref="C232:D232"/>
    <mergeCell ref="E232:G232"/>
    <mergeCell ref="A233:B233"/>
    <mergeCell ref="C233:D233"/>
    <mergeCell ref="E233:G233"/>
    <mergeCell ref="A220:C220"/>
    <mergeCell ref="A257:B257"/>
    <mergeCell ref="C252:D252"/>
    <mergeCell ref="F252:G252"/>
    <mergeCell ref="C254:D254"/>
    <mergeCell ref="F254:G254"/>
    <mergeCell ref="C255:D255"/>
    <mergeCell ref="F255:G255"/>
    <mergeCell ref="C248:D248"/>
    <mergeCell ref="F248:G248"/>
    <mergeCell ref="C249:D249"/>
    <mergeCell ref="F249:G249"/>
    <mergeCell ref="C251:D251"/>
    <mergeCell ref="F251:G251"/>
    <mergeCell ref="A251:B251"/>
    <mergeCell ref="A256:B256"/>
    <mergeCell ref="D220:E220"/>
    <mergeCell ref="F220:G220"/>
    <mergeCell ref="A221:C221"/>
    <mergeCell ref="D221:E221"/>
    <mergeCell ref="F221:G221"/>
    <mergeCell ref="A214:G214"/>
    <mergeCell ref="A225:C225"/>
    <mergeCell ref="D225:E225"/>
    <mergeCell ref="F225:G225"/>
    <mergeCell ref="A218:C218"/>
    <mergeCell ref="D218:E218"/>
    <mergeCell ref="F218:G218"/>
    <mergeCell ref="A219:C219"/>
    <mergeCell ref="D219:E219"/>
    <mergeCell ref="F219:G219"/>
    <mergeCell ref="A222:C222"/>
    <mergeCell ref="D222:E222"/>
    <mergeCell ref="F222:G222"/>
    <mergeCell ref="A223:C223"/>
    <mergeCell ref="D223:E223"/>
    <mergeCell ref="F223:G223"/>
    <mergeCell ref="A224:C224"/>
    <mergeCell ref="D224:E224"/>
    <mergeCell ref="A207:C207"/>
    <mergeCell ref="D207:E207"/>
    <mergeCell ref="F207:G207"/>
    <mergeCell ref="A204:C204"/>
    <mergeCell ref="D204:E204"/>
    <mergeCell ref="F204:G204"/>
    <mergeCell ref="A201:C201"/>
    <mergeCell ref="D201:E201"/>
    <mergeCell ref="F201:G201"/>
    <mergeCell ref="A205:C205"/>
    <mergeCell ref="D205:E205"/>
    <mergeCell ref="F205:G205"/>
    <mergeCell ref="A206:C206"/>
    <mergeCell ref="D206:E206"/>
    <mergeCell ref="F206:G206"/>
    <mergeCell ref="D203:E203"/>
    <mergeCell ref="F203:G203"/>
    <mergeCell ref="A203:C203"/>
    <mergeCell ref="D202:E202"/>
    <mergeCell ref="F202:G202"/>
    <mergeCell ref="F177:G177"/>
    <mergeCell ref="A168:G168"/>
    <mergeCell ref="D172:E172"/>
    <mergeCell ref="F172:G172"/>
    <mergeCell ref="D174:E174"/>
    <mergeCell ref="F174:G174"/>
    <mergeCell ref="A176:B176"/>
    <mergeCell ref="A172:B172"/>
    <mergeCell ref="A173:B173"/>
    <mergeCell ref="A177:B177"/>
    <mergeCell ref="D194:E194"/>
    <mergeCell ref="F194:G194"/>
    <mergeCell ref="D193:E193"/>
    <mergeCell ref="A186:B186"/>
    <mergeCell ref="D186:E186"/>
    <mergeCell ref="F186:G186"/>
    <mergeCell ref="A187:B187"/>
    <mergeCell ref="F126:G126"/>
    <mergeCell ref="D157:E157"/>
    <mergeCell ref="D149:E149"/>
    <mergeCell ref="F149:G149"/>
    <mergeCell ref="B150:C150"/>
    <mergeCell ref="D150:E150"/>
    <mergeCell ref="F150:G150"/>
    <mergeCell ref="B152:C152"/>
    <mergeCell ref="D152:E152"/>
    <mergeCell ref="F152:G152"/>
    <mergeCell ref="B149:C149"/>
    <mergeCell ref="A192:B192"/>
    <mergeCell ref="D175:E175"/>
    <mergeCell ref="F175:G175"/>
    <mergeCell ref="D176:E176"/>
    <mergeCell ref="F176:G176"/>
    <mergeCell ref="A179:G179"/>
    <mergeCell ref="A1:G1"/>
    <mergeCell ref="A2:G2"/>
    <mergeCell ref="A3:G3"/>
    <mergeCell ref="A4:G4"/>
    <mergeCell ref="D8:E8"/>
    <mergeCell ref="F8:G8"/>
    <mergeCell ref="A8:B8"/>
    <mergeCell ref="D9:E9"/>
    <mergeCell ref="F9:G9"/>
    <mergeCell ref="A9:B9"/>
    <mergeCell ref="A128:G128"/>
    <mergeCell ref="C132:D132"/>
    <mergeCell ref="F132:G132"/>
    <mergeCell ref="C133:D133"/>
    <mergeCell ref="F133:G133"/>
    <mergeCell ref="B125:C125"/>
    <mergeCell ref="D125:E125"/>
    <mergeCell ref="F125:G125"/>
    <mergeCell ref="B126:C126"/>
    <mergeCell ref="D126:E126"/>
    <mergeCell ref="A10:B10"/>
    <mergeCell ref="D19:F19"/>
    <mergeCell ref="A119:G119"/>
    <mergeCell ref="A123:A124"/>
    <mergeCell ref="B123:C124"/>
    <mergeCell ref="D123:E124"/>
    <mergeCell ref="F123:G124"/>
    <mergeCell ref="A18:A20"/>
    <mergeCell ref="B18:B20"/>
    <mergeCell ref="C18:F18"/>
    <mergeCell ref="G18:G20"/>
    <mergeCell ref="C19:C20"/>
    <mergeCell ref="D10:E10"/>
    <mergeCell ref="F10:G10"/>
    <mergeCell ref="A12:G12"/>
    <mergeCell ref="A14:G14"/>
    <mergeCell ref="D191:E191"/>
    <mergeCell ref="F191:G191"/>
    <mergeCell ref="D192:E192"/>
    <mergeCell ref="F192:G192"/>
    <mergeCell ref="B156:C156"/>
    <mergeCell ref="D156:E156"/>
    <mergeCell ref="F156:G156"/>
    <mergeCell ref="B157:C157"/>
    <mergeCell ref="C134:D134"/>
    <mergeCell ref="F134:G134"/>
    <mergeCell ref="B142:C142"/>
    <mergeCell ref="D142:E142"/>
    <mergeCell ref="F142:G142"/>
    <mergeCell ref="A136:G136"/>
    <mergeCell ref="B140:C140"/>
    <mergeCell ref="D140:E140"/>
    <mergeCell ref="F140:G140"/>
    <mergeCell ref="B141:C141"/>
    <mergeCell ref="D141:E141"/>
    <mergeCell ref="F141:G141"/>
    <mergeCell ref="A166:G166"/>
    <mergeCell ref="D173:E173"/>
    <mergeCell ref="F173:G173"/>
    <mergeCell ref="D177:E177"/>
    <mergeCell ref="A246:B246"/>
    <mergeCell ref="A241:B241"/>
    <mergeCell ref="D241:E241"/>
    <mergeCell ref="F241:G241"/>
    <mergeCell ref="A242:B242"/>
    <mergeCell ref="D242:E242"/>
    <mergeCell ref="F242:G242"/>
    <mergeCell ref="A243:B243"/>
    <mergeCell ref="D243:E243"/>
    <mergeCell ref="F243:G243"/>
    <mergeCell ref="A244:B244"/>
    <mergeCell ref="D244:E244"/>
    <mergeCell ref="F244:G244"/>
    <mergeCell ref="A245:B245"/>
    <mergeCell ref="D245:E245"/>
    <mergeCell ref="F245:G245"/>
    <mergeCell ref="A240:B240"/>
    <mergeCell ref="F157:G157"/>
    <mergeCell ref="F193:G193"/>
    <mergeCell ref="B158:C158"/>
    <mergeCell ref="D158:E158"/>
    <mergeCell ref="F158:G158"/>
    <mergeCell ref="A191:B191"/>
    <mergeCell ref="A183:B183"/>
    <mergeCell ref="D183:E183"/>
    <mergeCell ref="F183:G183"/>
    <mergeCell ref="A184:B184"/>
    <mergeCell ref="D184:E184"/>
    <mergeCell ref="F184:G184"/>
    <mergeCell ref="D187:E187"/>
    <mergeCell ref="F187:G187"/>
    <mergeCell ref="A197:G197"/>
    <mergeCell ref="A202:C202"/>
    <mergeCell ref="A195:B195"/>
    <mergeCell ref="F195:G195"/>
    <mergeCell ref="D195:E195"/>
    <mergeCell ref="A193:B193"/>
    <mergeCell ref="A194:B194"/>
    <mergeCell ref="A174:B174"/>
    <mergeCell ref="A175:B175"/>
    <mergeCell ref="A150:A151"/>
    <mergeCell ref="B151:C151"/>
    <mergeCell ref="D151:E151"/>
    <mergeCell ref="B148:C148"/>
    <mergeCell ref="D148:E148"/>
    <mergeCell ref="F148:G148"/>
    <mergeCell ref="A144:G144"/>
    <mergeCell ref="B147:C147"/>
    <mergeCell ref="D147:E147"/>
    <mergeCell ref="F147:G147"/>
    <mergeCell ref="F151:G151"/>
  </mergeCells>
  <pageMargins left="1.3779527559055118" right="0.39370078740157483" top="0.59055118110236227" bottom="0.59055118110236227" header="0.31496062992125984" footer="0.31496062992125984"/>
  <pageSetup paperSize="9" scale="6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10"/>
  <sheetViews>
    <sheetView showWhiteSpace="0" view="pageLayout" topLeftCell="A113" zoomScale="80" zoomScaleNormal="100" zoomScalePageLayoutView="80" workbookViewId="0">
      <selection sqref="A1:I122"/>
    </sheetView>
  </sheetViews>
  <sheetFormatPr defaultColWidth="8.88671875" defaultRowHeight="14.4" x14ac:dyDescent="0.3"/>
  <cols>
    <col min="1" max="1" width="26.5546875" style="5" customWidth="1"/>
    <col min="2" max="2" width="15.33203125" style="5" customWidth="1"/>
    <col min="3" max="3" width="14" style="5" customWidth="1"/>
    <col min="4" max="5" width="24.33203125" style="5" customWidth="1"/>
    <col min="6" max="6" width="23.6640625" style="5" customWidth="1"/>
    <col min="7" max="9" width="24.33203125" style="5" customWidth="1"/>
    <col min="10" max="10" width="8.88671875" style="5"/>
    <col min="11" max="16" width="12.33203125" style="5" bestFit="1" customWidth="1"/>
    <col min="17" max="16384" width="8.88671875" style="5"/>
  </cols>
  <sheetData>
    <row r="1" spans="1:9" ht="17.399999999999999" x14ac:dyDescent="0.3">
      <c r="A1" s="384" t="s">
        <v>258</v>
      </c>
      <c r="B1" s="384"/>
      <c r="C1" s="384"/>
      <c r="D1" s="384"/>
      <c r="E1" s="384"/>
      <c r="F1" s="384"/>
      <c r="G1" s="384"/>
      <c r="H1" s="384"/>
      <c r="I1" s="384"/>
    </row>
    <row r="2" spans="1:9" ht="17.399999999999999" x14ac:dyDescent="0.3">
      <c r="A2" s="384" t="s">
        <v>474</v>
      </c>
      <c r="B2" s="384"/>
      <c r="C2" s="384"/>
      <c r="D2" s="384"/>
      <c r="E2" s="384"/>
      <c r="F2" s="384"/>
      <c r="G2" s="384"/>
      <c r="H2" s="384"/>
      <c r="I2" s="384"/>
    </row>
    <row r="3" spans="1:9" ht="15" x14ac:dyDescent="0.3">
      <c r="A3" s="28"/>
    </row>
    <row r="4" spans="1:9" ht="18" x14ac:dyDescent="0.3">
      <c r="A4" s="4"/>
      <c r="F4" s="4"/>
      <c r="I4" s="4" t="s">
        <v>51</v>
      </c>
    </row>
    <row r="5" spans="1:9" ht="18.600000000000001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454</v>
      </c>
      <c r="F5" s="404"/>
      <c r="G5" s="404" t="s">
        <v>1</v>
      </c>
      <c r="H5" s="404" t="s">
        <v>472</v>
      </c>
      <c r="I5" s="404"/>
    </row>
    <row r="6" spans="1:9" ht="78" x14ac:dyDescent="0.3">
      <c r="A6" s="405"/>
      <c r="B6" s="404"/>
      <c r="C6" s="406"/>
      <c r="D6" s="404"/>
      <c r="E6" s="229" t="s">
        <v>3</v>
      </c>
      <c r="F6" s="229" t="s">
        <v>4</v>
      </c>
      <c r="G6" s="404"/>
      <c r="H6" s="229" t="s">
        <v>3</v>
      </c>
      <c r="I6" s="229" t="s">
        <v>4</v>
      </c>
    </row>
    <row r="7" spans="1:9" x14ac:dyDescent="0.3">
      <c r="A7" s="184">
        <v>1</v>
      </c>
      <c r="B7" s="184">
        <v>2</v>
      </c>
      <c r="C7" s="184">
        <v>3</v>
      </c>
      <c r="D7" s="184">
        <v>4</v>
      </c>
      <c r="E7" s="184">
        <v>5</v>
      </c>
      <c r="F7" s="184">
        <v>6</v>
      </c>
      <c r="G7" s="184">
        <v>7</v>
      </c>
      <c r="H7" s="184">
        <v>8</v>
      </c>
      <c r="I7" s="184">
        <v>9</v>
      </c>
    </row>
    <row r="8" spans="1:9" ht="54" x14ac:dyDescent="0.3">
      <c r="A8" s="230" t="s">
        <v>47</v>
      </c>
      <c r="B8" s="231" t="s">
        <v>5</v>
      </c>
      <c r="C8" s="231" t="s">
        <v>5</v>
      </c>
      <c r="D8" s="3">
        <f>E8+F8</f>
        <v>0</v>
      </c>
      <c r="E8" s="3"/>
      <c r="F8" s="3"/>
      <c r="G8" s="3">
        <f>H8+I8</f>
        <v>0</v>
      </c>
      <c r="H8" s="3"/>
      <c r="I8" s="3"/>
    </row>
    <row r="9" spans="1:9" ht="54" x14ac:dyDescent="0.3">
      <c r="A9" s="230" t="s">
        <v>48</v>
      </c>
      <c r="B9" s="231" t="s">
        <v>5</v>
      </c>
      <c r="C9" s="231" t="s">
        <v>5</v>
      </c>
      <c r="D9" s="3">
        <f t="shared" ref="D9:D76" si="0">E9+F9</f>
        <v>0</v>
      </c>
      <c r="E9" s="3">
        <f>E8+E10-E25+E106</f>
        <v>0</v>
      </c>
      <c r="F9" s="3">
        <f>F8+F10-F25+F106</f>
        <v>0</v>
      </c>
      <c r="G9" s="3">
        <f>H9+I9</f>
        <v>0</v>
      </c>
      <c r="H9" s="3">
        <f>H8+H10-H25+H106</f>
        <v>0</v>
      </c>
      <c r="I9" s="3">
        <f>I8+I10-I25+I106</f>
        <v>0</v>
      </c>
    </row>
    <row r="10" spans="1:9" ht="18" x14ac:dyDescent="0.3">
      <c r="A10" s="230" t="s">
        <v>49</v>
      </c>
      <c r="B10" s="231" t="s">
        <v>5</v>
      </c>
      <c r="C10" s="231" t="s">
        <v>5</v>
      </c>
      <c r="D10" s="1">
        <f t="shared" si="0"/>
        <v>26612600</v>
      </c>
      <c r="E10" s="1">
        <f>E12+E13+E14+E15+E16+E17+E21</f>
        <v>26612600</v>
      </c>
      <c r="F10" s="1">
        <f>F12+F13+F14+F15+F16+F17+F21+F101</f>
        <v>0</v>
      </c>
      <c r="G10" s="1">
        <f>H10+I10</f>
        <v>26612600</v>
      </c>
      <c r="H10" s="1">
        <f>H12+H13+H14+H15+H16+H17+H21</f>
        <v>26612600</v>
      </c>
      <c r="I10" s="1">
        <f>I12+I13+I14+I15+I16+I17+I21+I101</f>
        <v>0</v>
      </c>
    </row>
    <row r="11" spans="1:9" ht="18" x14ac:dyDescent="0.3">
      <c r="A11" s="230" t="s">
        <v>6</v>
      </c>
      <c r="B11" s="231"/>
      <c r="C11" s="231"/>
      <c r="D11" s="1"/>
      <c r="E11" s="1"/>
      <c r="F11" s="1"/>
      <c r="G11" s="1"/>
      <c r="H11" s="1"/>
      <c r="I11" s="1"/>
    </row>
    <row r="12" spans="1:9" ht="36" x14ac:dyDescent="0.3">
      <c r="A12" s="230" t="s">
        <v>66</v>
      </c>
      <c r="B12" s="231">
        <v>120</v>
      </c>
      <c r="C12" s="231" t="s">
        <v>5</v>
      </c>
      <c r="D12" s="1">
        <f t="shared" si="0"/>
        <v>312600</v>
      </c>
      <c r="E12" s="1">
        <v>312600</v>
      </c>
      <c r="F12" s="1"/>
      <c r="G12" s="1">
        <f t="shared" ref="G12:G17" si="1">H12+I12</f>
        <v>312600</v>
      </c>
      <c r="H12" s="1">
        <v>312600</v>
      </c>
      <c r="I12" s="1"/>
    </row>
    <row r="13" spans="1:9" ht="78" customHeight="1" x14ac:dyDescent="0.3">
      <c r="A13" s="230" t="s">
        <v>65</v>
      </c>
      <c r="B13" s="231">
        <v>130</v>
      </c>
      <c r="C13" s="231" t="s">
        <v>5</v>
      </c>
      <c r="D13" s="1">
        <f t="shared" si="0"/>
        <v>26300000</v>
      </c>
      <c r="E13" s="1">
        <v>26300000</v>
      </c>
      <c r="F13" s="1"/>
      <c r="G13" s="1">
        <f t="shared" si="1"/>
        <v>26300000</v>
      </c>
      <c r="H13" s="1">
        <v>26300000</v>
      </c>
      <c r="I13" s="1"/>
    </row>
    <row r="14" spans="1:9" ht="72" x14ac:dyDescent="0.3">
      <c r="A14" s="230" t="s">
        <v>64</v>
      </c>
      <c r="B14" s="231">
        <v>140</v>
      </c>
      <c r="C14" s="231" t="s">
        <v>5</v>
      </c>
      <c r="D14" s="1">
        <f t="shared" si="0"/>
        <v>0</v>
      </c>
      <c r="E14" s="1"/>
      <c r="F14" s="1"/>
      <c r="G14" s="1">
        <f t="shared" si="1"/>
        <v>0</v>
      </c>
      <c r="H14" s="1"/>
      <c r="I14" s="1"/>
    </row>
    <row r="15" spans="1:9" ht="36" x14ac:dyDescent="0.3">
      <c r="A15" s="230" t="s">
        <v>63</v>
      </c>
      <c r="B15" s="231">
        <v>150</v>
      </c>
      <c r="C15" s="231" t="s">
        <v>5</v>
      </c>
      <c r="D15" s="1">
        <f t="shared" si="0"/>
        <v>0</v>
      </c>
      <c r="E15" s="1"/>
      <c r="F15" s="1"/>
      <c r="G15" s="1">
        <f t="shared" si="1"/>
        <v>0</v>
      </c>
      <c r="H15" s="1"/>
      <c r="I15" s="1"/>
    </row>
    <row r="16" spans="1:9" ht="18" x14ac:dyDescent="0.3">
      <c r="A16" s="230" t="s">
        <v>62</v>
      </c>
      <c r="B16" s="231">
        <v>180</v>
      </c>
      <c r="C16" s="231" t="s">
        <v>5</v>
      </c>
      <c r="D16" s="1">
        <f t="shared" si="0"/>
        <v>0</v>
      </c>
      <c r="E16" s="1"/>
      <c r="F16" s="1"/>
      <c r="G16" s="1">
        <f t="shared" si="1"/>
        <v>0</v>
      </c>
      <c r="H16" s="1"/>
      <c r="I16" s="1"/>
    </row>
    <row r="17" spans="1:9" ht="36" x14ac:dyDescent="0.3">
      <c r="A17" s="230" t="s">
        <v>61</v>
      </c>
      <c r="B17" s="231" t="s">
        <v>5</v>
      </c>
      <c r="C17" s="231" t="s">
        <v>5</v>
      </c>
      <c r="D17" s="1">
        <f t="shared" si="0"/>
        <v>0</v>
      </c>
      <c r="E17" s="1">
        <f>E19+E20</f>
        <v>0</v>
      </c>
      <c r="F17" s="1">
        <f>F19+F20</f>
        <v>0</v>
      </c>
      <c r="G17" s="1">
        <f t="shared" si="1"/>
        <v>0</v>
      </c>
      <c r="H17" s="1">
        <f>H19+H20</f>
        <v>0</v>
      </c>
      <c r="I17" s="1">
        <f>I19+I20</f>
        <v>0</v>
      </c>
    </row>
    <row r="18" spans="1:9" ht="18" x14ac:dyDescent="0.3">
      <c r="A18" s="230" t="s">
        <v>6</v>
      </c>
      <c r="B18" s="231"/>
      <c r="C18" s="231"/>
      <c r="D18" s="1"/>
      <c r="E18" s="1"/>
      <c r="F18" s="1"/>
      <c r="G18" s="1"/>
      <c r="H18" s="1"/>
      <c r="I18" s="1"/>
    </row>
    <row r="19" spans="1:9" ht="36" x14ac:dyDescent="0.3">
      <c r="A19" s="230" t="s">
        <v>71</v>
      </c>
      <c r="B19" s="231">
        <v>410</v>
      </c>
      <c r="C19" s="231" t="s">
        <v>5</v>
      </c>
      <c r="D19" s="1">
        <f t="shared" si="0"/>
        <v>0</v>
      </c>
      <c r="E19" s="1"/>
      <c r="F19" s="1"/>
      <c r="G19" s="1">
        <f>H19+I19</f>
        <v>0</v>
      </c>
      <c r="H19" s="1"/>
      <c r="I19" s="1"/>
    </row>
    <row r="20" spans="1:9" ht="36" x14ac:dyDescent="0.3">
      <c r="A20" s="230" t="s">
        <v>72</v>
      </c>
      <c r="B20" s="231">
        <v>440</v>
      </c>
      <c r="C20" s="231" t="s">
        <v>5</v>
      </c>
      <c r="D20" s="1">
        <f t="shared" si="0"/>
        <v>0</v>
      </c>
      <c r="E20" s="1"/>
      <c r="F20" s="1"/>
      <c r="G20" s="1">
        <f>H20+I20</f>
        <v>0</v>
      </c>
      <c r="H20" s="1"/>
      <c r="I20" s="1"/>
    </row>
    <row r="21" spans="1:9" ht="36" x14ac:dyDescent="0.3">
      <c r="A21" s="230" t="s">
        <v>50</v>
      </c>
      <c r="B21" s="231" t="s">
        <v>5</v>
      </c>
      <c r="C21" s="231" t="s">
        <v>5</v>
      </c>
      <c r="D21" s="1">
        <f t="shared" si="0"/>
        <v>0</v>
      </c>
      <c r="E21" s="1">
        <f>E23+E24</f>
        <v>0</v>
      </c>
      <c r="F21" s="1">
        <f>F23+F24</f>
        <v>0</v>
      </c>
      <c r="G21" s="1">
        <f>H21+I21</f>
        <v>0</v>
      </c>
      <c r="H21" s="1">
        <f>H23+H24</f>
        <v>0</v>
      </c>
      <c r="I21" s="1">
        <f>I23+I24</f>
        <v>0</v>
      </c>
    </row>
    <row r="22" spans="1:9" ht="18" x14ac:dyDescent="0.3">
      <c r="A22" s="230" t="s">
        <v>9</v>
      </c>
      <c r="B22" s="231"/>
      <c r="C22" s="231"/>
      <c r="D22" s="1"/>
      <c r="E22" s="1"/>
      <c r="F22" s="1"/>
      <c r="G22" s="1"/>
      <c r="H22" s="1"/>
      <c r="I22" s="1"/>
    </row>
    <row r="23" spans="1:9" ht="108" x14ac:dyDescent="0.3">
      <c r="A23" s="230" t="s">
        <v>70</v>
      </c>
      <c r="B23" s="231">
        <v>510</v>
      </c>
      <c r="C23" s="231" t="s">
        <v>5</v>
      </c>
      <c r="D23" s="1">
        <f t="shared" si="0"/>
        <v>0</v>
      </c>
      <c r="E23" s="1"/>
      <c r="F23" s="1"/>
      <c r="G23" s="1">
        <f>H23+I23</f>
        <v>0</v>
      </c>
      <c r="H23" s="1"/>
      <c r="I23" s="1"/>
    </row>
    <row r="24" spans="1:9" ht="126" x14ac:dyDescent="0.3">
      <c r="A24" s="230" t="s">
        <v>266</v>
      </c>
      <c r="B24" s="231">
        <v>510</v>
      </c>
      <c r="C24" s="231" t="s">
        <v>5</v>
      </c>
      <c r="D24" s="1">
        <f t="shared" si="0"/>
        <v>0</v>
      </c>
      <c r="E24" s="1"/>
      <c r="F24" s="1"/>
      <c r="G24" s="1">
        <f>H24+I24</f>
        <v>0</v>
      </c>
      <c r="H24" s="1"/>
      <c r="I24" s="1"/>
    </row>
    <row r="25" spans="1:9" ht="18" x14ac:dyDescent="0.3">
      <c r="A25" s="230" t="s">
        <v>7</v>
      </c>
      <c r="B25" s="231" t="s">
        <v>5</v>
      </c>
      <c r="C25" s="231">
        <v>900</v>
      </c>
      <c r="D25" s="3">
        <f t="shared" si="0"/>
        <v>26467997</v>
      </c>
      <c r="E25" s="1">
        <f>E27+E92</f>
        <v>26467997</v>
      </c>
      <c r="F25" s="1">
        <f>F27+F92</f>
        <v>0</v>
      </c>
      <c r="G25" s="3">
        <f>H25+I25</f>
        <v>26467997</v>
      </c>
      <c r="H25" s="1">
        <f>H27+H92</f>
        <v>26467997</v>
      </c>
      <c r="I25" s="1">
        <f>I27+I92</f>
        <v>0</v>
      </c>
    </row>
    <row r="26" spans="1:9" ht="18" x14ac:dyDescent="0.3">
      <c r="A26" s="230" t="s">
        <v>6</v>
      </c>
      <c r="B26" s="231"/>
      <c r="C26" s="231"/>
      <c r="D26" s="3"/>
      <c r="E26" s="1"/>
      <c r="F26" s="1"/>
      <c r="G26" s="3"/>
      <c r="H26" s="1"/>
      <c r="I26" s="1"/>
    </row>
    <row r="27" spans="1:9" ht="18" x14ac:dyDescent="0.3">
      <c r="A27" s="230" t="s">
        <v>8</v>
      </c>
      <c r="B27" s="231" t="s">
        <v>5</v>
      </c>
      <c r="C27" s="231">
        <v>200</v>
      </c>
      <c r="D27" s="3">
        <f t="shared" si="0"/>
        <v>21427997</v>
      </c>
      <c r="E27" s="1">
        <f>E29+E37+E65+E71</f>
        <v>21427997</v>
      </c>
      <c r="F27" s="1">
        <f>F29+F37+F65+F71</f>
        <v>0</v>
      </c>
      <c r="G27" s="3">
        <f>H27+I27</f>
        <v>21427997</v>
      </c>
      <c r="H27" s="1">
        <f>H29+H37+H65+H71</f>
        <v>21427997</v>
      </c>
      <c r="I27" s="1">
        <f>I29+I37+I65+I71</f>
        <v>0</v>
      </c>
    </row>
    <row r="28" spans="1:9" ht="14.4" customHeight="1" x14ac:dyDescent="0.3">
      <c r="A28" s="230" t="s">
        <v>9</v>
      </c>
      <c r="B28" s="231"/>
      <c r="C28" s="231"/>
      <c r="D28" s="3"/>
      <c r="E28" s="1"/>
      <c r="F28" s="1"/>
      <c r="G28" s="3"/>
      <c r="H28" s="1"/>
      <c r="I28" s="1"/>
    </row>
    <row r="29" spans="1:9" ht="72" x14ac:dyDescent="0.3">
      <c r="A29" s="230" t="s">
        <v>10</v>
      </c>
      <c r="B29" s="231" t="s">
        <v>5</v>
      </c>
      <c r="C29" s="231">
        <v>210</v>
      </c>
      <c r="D29" s="3">
        <f t="shared" si="0"/>
        <v>13517940</v>
      </c>
      <c r="E29" s="1">
        <f>E31+E32+E33+E34</f>
        <v>13517940</v>
      </c>
      <c r="F29" s="1">
        <f>F31+F32+F33+F34</f>
        <v>0</v>
      </c>
      <c r="G29" s="3">
        <f>H29+I29</f>
        <v>13517940</v>
      </c>
      <c r="H29" s="1">
        <f>H31+H32+H33+H34</f>
        <v>13517940</v>
      </c>
      <c r="I29" s="1">
        <f>I31+I32+I33+I34</f>
        <v>0</v>
      </c>
    </row>
    <row r="30" spans="1:9" ht="18" x14ac:dyDescent="0.3">
      <c r="A30" s="230" t="s">
        <v>9</v>
      </c>
      <c r="B30" s="231"/>
      <c r="C30" s="231"/>
      <c r="D30" s="3"/>
      <c r="E30" s="1"/>
      <c r="F30" s="1"/>
      <c r="G30" s="3"/>
      <c r="H30" s="1"/>
      <c r="I30" s="1"/>
    </row>
    <row r="31" spans="1:9" ht="18" x14ac:dyDescent="0.3">
      <c r="A31" s="230" t="s">
        <v>11</v>
      </c>
      <c r="B31" s="231">
        <v>111</v>
      </c>
      <c r="C31" s="231">
        <v>211</v>
      </c>
      <c r="D31" s="3">
        <f t="shared" si="0"/>
        <v>10084485.41</v>
      </c>
      <c r="E31" s="1">
        <v>10084485.41</v>
      </c>
      <c r="F31" s="1"/>
      <c r="G31" s="3">
        <f>H31+I31</f>
        <v>10084485.41</v>
      </c>
      <c r="H31" s="1">
        <v>10084485.41</v>
      </c>
      <c r="I31" s="1"/>
    </row>
    <row r="32" spans="1:9" ht="60" customHeight="1" x14ac:dyDescent="0.3">
      <c r="A32" s="230" t="s">
        <v>12</v>
      </c>
      <c r="B32" s="231">
        <v>112</v>
      </c>
      <c r="C32" s="231">
        <v>212</v>
      </c>
      <c r="D32" s="3">
        <f t="shared" si="0"/>
        <v>90000</v>
      </c>
      <c r="E32" s="1">
        <f>50000+40000</f>
        <v>90000</v>
      </c>
      <c r="F32" s="1"/>
      <c r="G32" s="3">
        <f>H32+I32</f>
        <v>90000</v>
      </c>
      <c r="H32" s="1">
        <f>50000+40000</f>
        <v>90000</v>
      </c>
      <c r="I32" s="1"/>
    </row>
    <row r="33" spans="1:9" ht="54" x14ac:dyDescent="0.3">
      <c r="A33" s="230" t="s">
        <v>13</v>
      </c>
      <c r="B33" s="231">
        <v>119</v>
      </c>
      <c r="C33" s="231">
        <v>213</v>
      </c>
      <c r="D33" s="3">
        <f t="shared" si="0"/>
        <v>3045514.59</v>
      </c>
      <c r="E33" s="1">
        <v>3045514.59</v>
      </c>
      <c r="F33" s="1"/>
      <c r="G33" s="3">
        <f>H33+I33</f>
        <v>3045514.59</v>
      </c>
      <c r="H33" s="1">
        <v>3045514.59</v>
      </c>
      <c r="I33" s="1"/>
    </row>
    <row r="34" spans="1:9" ht="57.75" customHeight="1" x14ac:dyDescent="0.3">
      <c r="A34" s="230" t="s">
        <v>200</v>
      </c>
      <c r="B34" s="231" t="s">
        <v>5</v>
      </c>
      <c r="C34" s="231">
        <v>214</v>
      </c>
      <c r="D34" s="3">
        <f>E34+F34</f>
        <v>297940</v>
      </c>
      <c r="E34" s="1">
        <f>E35+E36</f>
        <v>297940</v>
      </c>
      <c r="F34" s="1">
        <f>F35+F36</f>
        <v>0</v>
      </c>
      <c r="G34" s="3">
        <f>H34+I34</f>
        <v>297940</v>
      </c>
      <c r="H34" s="1">
        <f>H35+H36</f>
        <v>297940</v>
      </c>
      <c r="I34" s="1">
        <f>I35+I36</f>
        <v>0</v>
      </c>
    </row>
    <row r="35" spans="1:9" ht="18" x14ac:dyDescent="0.3">
      <c r="A35" s="411" t="s">
        <v>6</v>
      </c>
      <c r="B35" s="231">
        <v>112</v>
      </c>
      <c r="C35" s="231">
        <v>214</v>
      </c>
      <c r="D35" s="3">
        <f t="shared" si="0"/>
        <v>297940</v>
      </c>
      <c r="E35" s="1">
        <v>297940</v>
      </c>
      <c r="F35" s="1"/>
      <c r="G35" s="3">
        <f>H35+I35</f>
        <v>297940</v>
      </c>
      <c r="H35" s="1">
        <v>297940</v>
      </c>
      <c r="I35" s="1"/>
    </row>
    <row r="36" spans="1:9" ht="14.4" customHeight="1" x14ac:dyDescent="0.3">
      <c r="A36" s="411"/>
      <c r="B36" s="231">
        <v>244</v>
      </c>
      <c r="C36" s="231">
        <v>214</v>
      </c>
      <c r="D36" s="3">
        <v>0</v>
      </c>
      <c r="E36" s="1"/>
      <c r="F36" s="1"/>
      <c r="G36" s="3">
        <v>0</v>
      </c>
      <c r="H36" s="1"/>
      <c r="I36" s="1"/>
    </row>
    <row r="37" spans="1:9" ht="36" x14ac:dyDescent="0.3">
      <c r="A37" s="230" t="s">
        <v>14</v>
      </c>
      <c r="B37" s="231" t="s">
        <v>5</v>
      </c>
      <c r="C37" s="231">
        <v>220</v>
      </c>
      <c r="D37" s="3">
        <f t="shared" si="0"/>
        <v>7796057</v>
      </c>
      <c r="E37" s="1">
        <f>E39+E40+E43+E53+E54+E57+E63</f>
        <v>7796057</v>
      </c>
      <c r="F37" s="1">
        <f>F39+F40+F43+F53+F54+F57+F63</f>
        <v>0</v>
      </c>
      <c r="G37" s="3">
        <f>H37+I37</f>
        <v>7796057</v>
      </c>
      <c r="H37" s="1">
        <f>H39+H40+H43+H53+H54+H57+H63</f>
        <v>7796057</v>
      </c>
      <c r="I37" s="1">
        <f>I39+I40+I43+I53+I54+I57+I63</f>
        <v>0</v>
      </c>
    </row>
    <row r="38" spans="1:9" ht="18" x14ac:dyDescent="0.3">
      <c r="A38" s="230" t="s">
        <v>9</v>
      </c>
      <c r="B38" s="231"/>
      <c r="C38" s="231"/>
      <c r="D38" s="3"/>
      <c r="E38" s="1"/>
      <c r="F38" s="1"/>
      <c r="G38" s="3"/>
      <c r="H38" s="1"/>
      <c r="I38" s="1"/>
    </row>
    <row r="39" spans="1:9" ht="18" x14ac:dyDescent="0.3">
      <c r="A39" s="230" t="s">
        <v>15</v>
      </c>
      <c r="B39" s="231">
        <v>244</v>
      </c>
      <c r="C39" s="231">
        <v>221</v>
      </c>
      <c r="D39" s="3">
        <f t="shared" si="0"/>
        <v>290000</v>
      </c>
      <c r="E39" s="1">
        <v>290000</v>
      </c>
      <c r="F39" s="1"/>
      <c r="G39" s="3">
        <f>H39+I39</f>
        <v>290000</v>
      </c>
      <c r="H39" s="1">
        <v>290000</v>
      </c>
      <c r="I39" s="1"/>
    </row>
    <row r="40" spans="1:9" ht="36" x14ac:dyDescent="0.3">
      <c r="A40" s="230" t="s">
        <v>16</v>
      </c>
      <c r="B40" s="231" t="s">
        <v>5</v>
      </c>
      <c r="C40" s="231">
        <v>222</v>
      </c>
      <c r="D40" s="3">
        <f t="shared" si="0"/>
        <v>400000</v>
      </c>
      <c r="E40" s="1">
        <f>E41+E42</f>
        <v>400000</v>
      </c>
      <c r="F40" s="1">
        <f>F41+F42</f>
        <v>0</v>
      </c>
      <c r="G40" s="3">
        <f>H40+I40</f>
        <v>400000</v>
      </c>
      <c r="H40" s="1">
        <f>H41+H42</f>
        <v>400000</v>
      </c>
      <c r="I40" s="1">
        <f>I41+I42</f>
        <v>0</v>
      </c>
    </row>
    <row r="41" spans="1:9" ht="22.95" customHeight="1" x14ac:dyDescent="0.3">
      <c r="A41" s="407" t="s">
        <v>6</v>
      </c>
      <c r="B41" s="231">
        <v>112</v>
      </c>
      <c r="C41" s="231">
        <v>222</v>
      </c>
      <c r="D41" s="3">
        <f t="shared" si="0"/>
        <v>0</v>
      </c>
      <c r="E41" s="1"/>
      <c r="F41" s="1"/>
      <c r="G41" s="3">
        <f>H41+I41</f>
        <v>0</v>
      </c>
      <c r="H41" s="1"/>
      <c r="I41" s="1"/>
    </row>
    <row r="42" spans="1:9" ht="18" x14ac:dyDescent="0.3">
      <c r="A42" s="407"/>
      <c r="B42" s="231">
        <v>244</v>
      </c>
      <c r="C42" s="231">
        <v>222</v>
      </c>
      <c r="D42" s="3">
        <f t="shared" si="0"/>
        <v>400000</v>
      </c>
      <c r="E42" s="1">
        <v>400000</v>
      </c>
      <c r="F42" s="1"/>
      <c r="G42" s="3">
        <f>H42+I42</f>
        <v>400000</v>
      </c>
      <c r="H42" s="1">
        <v>400000</v>
      </c>
      <c r="I42" s="1"/>
    </row>
    <row r="43" spans="1:9" ht="18" x14ac:dyDescent="0.3">
      <c r="A43" s="230" t="s">
        <v>17</v>
      </c>
      <c r="B43" s="231" t="s">
        <v>5</v>
      </c>
      <c r="C43" s="231">
        <v>223</v>
      </c>
      <c r="D43" s="3">
        <f t="shared" si="0"/>
        <v>400000</v>
      </c>
      <c r="E43" s="1">
        <f>E48+E49+E50+E51+E52</f>
        <v>400000</v>
      </c>
      <c r="F43" s="1">
        <f>F48+F49+F50+F51+F52</f>
        <v>0</v>
      </c>
      <c r="G43" s="3">
        <f>H43+I43</f>
        <v>400000</v>
      </c>
      <c r="H43" s="1">
        <f>H48+H49+H50+H51+H52</f>
        <v>400000</v>
      </c>
      <c r="I43" s="1">
        <f>I48+I49+I50+I51+I52</f>
        <v>0</v>
      </c>
    </row>
    <row r="44" spans="1:9" ht="18" x14ac:dyDescent="0.3">
      <c r="A44" s="230" t="s">
        <v>6</v>
      </c>
      <c r="B44" s="231"/>
      <c r="C44" s="231"/>
      <c r="D44" s="3"/>
      <c r="E44" s="1"/>
      <c r="F44" s="1"/>
      <c r="G44" s="3"/>
      <c r="H44" s="1"/>
      <c r="I44" s="1"/>
    </row>
    <row r="45" spans="1:9" ht="40.5" customHeight="1" x14ac:dyDescent="0.3">
      <c r="A45" s="261" t="s">
        <v>18</v>
      </c>
      <c r="B45" s="262">
        <v>244</v>
      </c>
      <c r="C45" s="262">
        <v>223</v>
      </c>
      <c r="D45" s="3"/>
      <c r="E45" s="1"/>
      <c r="F45" s="1"/>
      <c r="G45" s="3"/>
      <c r="H45" s="1"/>
      <c r="I45" s="1"/>
    </row>
    <row r="46" spans="1:9" ht="36" x14ac:dyDescent="0.3">
      <c r="A46" s="316" t="s">
        <v>19</v>
      </c>
      <c r="B46" s="317">
        <v>244</v>
      </c>
      <c r="C46" s="317">
        <v>223</v>
      </c>
      <c r="D46" s="3"/>
      <c r="E46" s="1"/>
      <c r="F46" s="1"/>
      <c r="G46" s="3"/>
      <c r="H46" s="1"/>
      <c r="I46" s="1"/>
    </row>
    <row r="47" spans="1:9" ht="36" x14ac:dyDescent="0.3">
      <c r="A47" s="316" t="s">
        <v>20</v>
      </c>
      <c r="B47" s="317">
        <v>244</v>
      </c>
      <c r="C47" s="317">
        <v>223</v>
      </c>
      <c r="D47" s="3"/>
      <c r="E47" s="1"/>
      <c r="F47" s="1"/>
      <c r="G47" s="3"/>
      <c r="H47" s="1"/>
      <c r="I47" s="1"/>
    </row>
    <row r="48" spans="1:9" ht="40.5" customHeight="1" x14ac:dyDescent="0.3">
      <c r="A48" s="230" t="s">
        <v>18</v>
      </c>
      <c r="B48" s="231">
        <v>247</v>
      </c>
      <c r="C48" s="231">
        <v>223</v>
      </c>
      <c r="D48" s="3">
        <f t="shared" si="0"/>
        <v>100000</v>
      </c>
      <c r="E48" s="1">
        <v>100000</v>
      </c>
      <c r="F48" s="1"/>
      <c r="G48" s="3">
        <f t="shared" ref="G48:G53" si="2">H48+I48</f>
        <v>100000</v>
      </c>
      <c r="H48" s="1">
        <v>100000</v>
      </c>
      <c r="I48" s="1"/>
    </row>
    <row r="49" spans="1:9" ht="36" x14ac:dyDescent="0.3">
      <c r="A49" s="230" t="s">
        <v>19</v>
      </c>
      <c r="B49" s="231">
        <v>247</v>
      </c>
      <c r="C49" s="231">
        <v>223</v>
      </c>
      <c r="D49" s="3">
        <f t="shared" si="0"/>
        <v>0</v>
      </c>
      <c r="E49" s="1"/>
      <c r="F49" s="1"/>
      <c r="G49" s="3">
        <f t="shared" si="2"/>
        <v>0</v>
      </c>
      <c r="H49" s="1"/>
      <c r="I49" s="1"/>
    </row>
    <row r="50" spans="1:9" ht="51.75" customHeight="1" x14ac:dyDescent="0.3">
      <c r="A50" s="230" t="s">
        <v>20</v>
      </c>
      <c r="B50" s="231">
        <v>247</v>
      </c>
      <c r="C50" s="231">
        <v>223</v>
      </c>
      <c r="D50" s="3">
        <f t="shared" si="0"/>
        <v>100000</v>
      </c>
      <c r="E50" s="1">
        <v>100000</v>
      </c>
      <c r="F50" s="1"/>
      <c r="G50" s="3">
        <f t="shared" si="2"/>
        <v>100000</v>
      </c>
      <c r="H50" s="1">
        <v>100000</v>
      </c>
      <c r="I50" s="1"/>
    </row>
    <row r="51" spans="1:9" ht="72" x14ac:dyDescent="0.3">
      <c r="A51" s="230" t="s">
        <v>21</v>
      </c>
      <c r="B51" s="231">
        <v>247</v>
      </c>
      <c r="C51" s="231">
        <v>223</v>
      </c>
      <c r="D51" s="3">
        <f t="shared" si="0"/>
        <v>100000</v>
      </c>
      <c r="E51" s="1">
        <v>100000</v>
      </c>
      <c r="F51" s="1"/>
      <c r="G51" s="3">
        <f t="shared" si="2"/>
        <v>100000</v>
      </c>
      <c r="H51" s="1">
        <v>100000</v>
      </c>
      <c r="I51" s="1"/>
    </row>
    <row r="52" spans="1:9" ht="54" x14ac:dyDescent="0.3">
      <c r="A52" s="230" t="s">
        <v>22</v>
      </c>
      <c r="B52" s="231">
        <v>244</v>
      </c>
      <c r="C52" s="231">
        <v>223</v>
      </c>
      <c r="D52" s="3">
        <f t="shared" si="0"/>
        <v>100000</v>
      </c>
      <c r="E52" s="1">
        <v>100000</v>
      </c>
      <c r="F52" s="1"/>
      <c r="G52" s="3">
        <f t="shared" si="2"/>
        <v>100000</v>
      </c>
      <c r="H52" s="1">
        <v>100000</v>
      </c>
      <c r="I52" s="1"/>
    </row>
    <row r="53" spans="1:9" ht="138.75" customHeight="1" x14ac:dyDescent="0.3">
      <c r="A53" s="230" t="s">
        <v>23</v>
      </c>
      <c r="B53" s="231">
        <v>244</v>
      </c>
      <c r="C53" s="231">
        <v>224</v>
      </c>
      <c r="D53" s="3">
        <f t="shared" si="0"/>
        <v>0</v>
      </c>
      <c r="E53" s="1"/>
      <c r="F53" s="1"/>
      <c r="G53" s="3">
        <f t="shared" si="2"/>
        <v>0</v>
      </c>
      <c r="H53" s="1"/>
      <c r="I53" s="1"/>
    </row>
    <row r="54" spans="1:9" ht="54" x14ac:dyDescent="0.3">
      <c r="A54" s="230" t="s">
        <v>24</v>
      </c>
      <c r="B54" s="231" t="s">
        <v>5</v>
      </c>
      <c r="C54" s="231">
        <v>225</v>
      </c>
      <c r="D54" s="1">
        <f t="shared" ref="D54:I54" si="3">D55+D56</f>
        <v>2000000</v>
      </c>
      <c r="E54" s="1">
        <f t="shared" si="3"/>
        <v>2000000</v>
      </c>
      <c r="F54" s="1">
        <f t="shared" si="3"/>
        <v>0</v>
      </c>
      <c r="G54" s="1">
        <f t="shared" si="3"/>
        <v>2000000</v>
      </c>
      <c r="H54" s="1">
        <f t="shared" si="3"/>
        <v>2000000</v>
      </c>
      <c r="I54" s="1">
        <f t="shared" si="3"/>
        <v>0</v>
      </c>
    </row>
    <row r="55" spans="1:9" ht="18" x14ac:dyDescent="0.3">
      <c r="A55" s="407" t="s">
        <v>6</v>
      </c>
      <c r="B55" s="231">
        <v>243</v>
      </c>
      <c r="C55" s="231">
        <v>225</v>
      </c>
      <c r="D55" s="3">
        <f t="shared" si="0"/>
        <v>0</v>
      </c>
      <c r="E55" s="1"/>
      <c r="F55" s="1"/>
      <c r="G55" s="3">
        <f t="shared" ref="G55:G92" si="4">H55+I55</f>
        <v>0</v>
      </c>
      <c r="H55" s="1"/>
      <c r="I55" s="1"/>
    </row>
    <row r="56" spans="1:9" ht="18" x14ac:dyDescent="0.3">
      <c r="A56" s="407"/>
      <c r="B56" s="231">
        <v>244</v>
      </c>
      <c r="C56" s="231">
        <v>225</v>
      </c>
      <c r="D56" s="3">
        <f t="shared" si="0"/>
        <v>2000000</v>
      </c>
      <c r="E56" s="1">
        <v>2000000</v>
      </c>
      <c r="F56" s="1"/>
      <c r="G56" s="3">
        <f t="shared" si="4"/>
        <v>2000000</v>
      </c>
      <c r="H56" s="1">
        <v>2000000</v>
      </c>
      <c r="I56" s="1"/>
    </row>
    <row r="57" spans="1:9" ht="18" x14ac:dyDescent="0.3">
      <c r="A57" s="230" t="s">
        <v>58</v>
      </c>
      <c r="B57" s="231" t="s">
        <v>5</v>
      </c>
      <c r="C57" s="231">
        <v>226</v>
      </c>
      <c r="D57" s="3">
        <f t="shared" si="0"/>
        <v>4696057</v>
      </c>
      <c r="E57" s="1">
        <f>E58+E59+E61+E62+E60</f>
        <v>4696057</v>
      </c>
      <c r="F57" s="1">
        <f>F58+F59+F61+F62+F60</f>
        <v>0</v>
      </c>
      <c r="G57" s="3">
        <f t="shared" si="4"/>
        <v>4696057</v>
      </c>
      <c r="H57" s="1">
        <f>H58+H59+H61+H62+H60</f>
        <v>4696057</v>
      </c>
      <c r="I57" s="1">
        <f>I58+I59+I61+I62+I60</f>
        <v>0</v>
      </c>
    </row>
    <row r="58" spans="1:9" ht="18" x14ac:dyDescent="0.3">
      <c r="A58" s="407" t="s">
        <v>6</v>
      </c>
      <c r="B58" s="231">
        <v>112</v>
      </c>
      <c r="C58" s="231">
        <v>226</v>
      </c>
      <c r="D58" s="3">
        <f t="shared" si="0"/>
        <v>75000</v>
      </c>
      <c r="E58" s="1">
        <v>75000</v>
      </c>
      <c r="F58" s="1"/>
      <c r="G58" s="3">
        <f t="shared" si="4"/>
        <v>75000</v>
      </c>
      <c r="H58" s="1">
        <v>75000</v>
      </c>
      <c r="I58" s="1"/>
    </row>
    <row r="59" spans="1:9" ht="18" x14ac:dyDescent="0.3">
      <c r="A59" s="407"/>
      <c r="B59" s="231">
        <v>113</v>
      </c>
      <c r="C59" s="231">
        <v>226</v>
      </c>
      <c r="D59" s="3">
        <f t="shared" si="0"/>
        <v>0</v>
      </c>
      <c r="E59" s="1"/>
      <c r="F59" s="1"/>
      <c r="G59" s="3">
        <f t="shared" si="4"/>
        <v>0</v>
      </c>
      <c r="H59" s="1"/>
      <c r="I59" s="1"/>
    </row>
    <row r="60" spans="1:9" ht="18" x14ac:dyDescent="0.3">
      <c r="A60" s="407"/>
      <c r="B60" s="231">
        <v>119</v>
      </c>
      <c r="C60" s="231">
        <v>226</v>
      </c>
      <c r="D60" s="3">
        <f t="shared" si="0"/>
        <v>0</v>
      </c>
      <c r="E60" s="1"/>
      <c r="F60" s="1"/>
      <c r="G60" s="3">
        <f t="shared" si="4"/>
        <v>0</v>
      </c>
      <c r="H60" s="1"/>
      <c r="I60" s="1"/>
    </row>
    <row r="61" spans="1:9" ht="18" x14ac:dyDescent="0.3">
      <c r="A61" s="407"/>
      <c r="B61" s="231">
        <v>243</v>
      </c>
      <c r="C61" s="231">
        <v>226</v>
      </c>
      <c r="D61" s="3">
        <f t="shared" si="0"/>
        <v>0</v>
      </c>
      <c r="E61" s="1"/>
      <c r="F61" s="1"/>
      <c r="G61" s="3">
        <f t="shared" si="4"/>
        <v>0</v>
      </c>
      <c r="H61" s="1"/>
      <c r="I61" s="1"/>
    </row>
    <row r="62" spans="1:9" ht="18" x14ac:dyDescent="0.3">
      <c r="A62" s="407"/>
      <c r="B62" s="231">
        <v>244</v>
      </c>
      <c r="C62" s="231">
        <v>226</v>
      </c>
      <c r="D62" s="3">
        <f t="shared" si="0"/>
        <v>4621057</v>
      </c>
      <c r="E62" s="1">
        <v>4621057</v>
      </c>
      <c r="F62" s="1"/>
      <c r="G62" s="3">
        <f t="shared" si="4"/>
        <v>4621057</v>
      </c>
      <c r="H62" s="1">
        <v>4621057</v>
      </c>
      <c r="I62" s="1"/>
    </row>
    <row r="63" spans="1:9" ht="18" x14ac:dyDescent="0.3">
      <c r="A63" s="230" t="s">
        <v>25</v>
      </c>
      <c r="B63" s="231">
        <v>244</v>
      </c>
      <c r="C63" s="231">
        <v>227</v>
      </c>
      <c r="D63" s="3">
        <f t="shared" si="0"/>
        <v>10000</v>
      </c>
      <c r="E63" s="1">
        <v>10000</v>
      </c>
      <c r="F63" s="1"/>
      <c r="G63" s="3">
        <f t="shared" si="4"/>
        <v>10000</v>
      </c>
      <c r="H63" s="1">
        <v>10000</v>
      </c>
      <c r="I63" s="1"/>
    </row>
    <row r="64" spans="1:9" ht="60.75" customHeight="1" x14ac:dyDescent="0.3">
      <c r="A64" s="261" t="s">
        <v>445</v>
      </c>
      <c r="B64" s="262">
        <v>244</v>
      </c>
      <c r="C64" s="262">
        <v>228</v>
      </c>
      <c r="D64" s="3">
        <v>0</v>
      </c>
      <c r="E64" s="1"/>
      <c r="F64" s="1">
        <v>0</v>
      </c>
      <c r="G64" s="3">
        <v>0</v>
      </c>
      <c r="H64" s="1"/>
      <c r="I64" s="1">
        <v>0</v>
      </c>
    </row>
    <row r="65" spans="1:9" ht="36" x14ac:dyDescent="0.3">
      <c r="A65" s="230" t="s">
        <v>26</v>
      </c>
      <c r="B65" s="231" t="s">
        <v>5</v>
      </c>
      <c r="C65" s="231">
        <v>260</v>
      </c>
      <c r="D65" s="3">
        <f t="shared" si="0"/>
        <v>25000</v>
      </c>
      <c r="E65" s="1">
        <f>E66+E67+E70</f>
        <v>25000</v>
      </c>
      <c r="F65" s="1">
        <f>F66+F67+F70</f>
        <v>0</v>
      </c>
      <c r="G65" s="3">
        <f t="shared" si="4"/>
        <v>25000</v>
      </c>
      <c r="H65" s="1">
        <f>H66+H67+H70</f>
        <v>25000</v>
      </c>
      <c r="I65" s="1">
        <f>I66+I67+I70</f>
        <v>0</v>
      </c>
    </row>
    <row r="66" spans="1:9" ht="98.25" customHeight="1" x14ac:dyDescent="0.3">
      <c r="A66" s="230" t="s">
        <v>27</v>
      </c>
      <c r="B66" s="231">
        <v>321</v>
      </c>
      <c r="C66" s="231">
        <v>264</v>
      </c>
      <c r="D66" s="3">
        <f t="shared" si="0"/>
        <v>0</v>
      </c>
      <c r="E66" s="1"/>
      <c r="F66" s="1"/>
      <c r="G66" s="3">
        <f t="shared" si="4"/>
        <v>0</v>
      </c>
      <c r="H66" s="1"/>
      <c r="I66" s="1"/>
    </row>
    <row r="67" spans="1:9" ht="72" x14ac:dyDescent="0.3">
      <c r="A67" s="230" t="s">
        <v>28</v>
      </c>
      <c r="B67" s="231" t="s">
        <v>5</v>
      </c>
      <c r="C67" s="231">
        <v>266</v>
      </c>
      <c r="D67" s="3">
        <f t="shared" si="0"/>
        <v>25000</v>
      </c>
      <c r="E67" s="1">
        <f>E68+E69</f>
        <v>25000</v>
      </c>
      <c r="F67" s="1">
        <f>F68+F69</f>
        <v>0</v>
      </c>
      <c r="G67" s="3">
        <f t="shared" si="4"/>
        <v>25000</v>
      </c>
      <c r="H67" s="1">
        <f>H68+H69</f>
        <v>25000</v>
      </c>
      <c r="I67" s="1">
        <f>I68+I69</f>
        <v>0</v>
      </c>
    </row>
    <row r="68" spans="1:9" ht="18" x14ac:dyDescent="0.3">
      <c r="A68" s="407" t="s">
        <v>6</v>
      </c>
      <c r="B68" s="231">
        <v>111</v>
      </c>
      <c r="C68" s="231">
        <v>266</v>
      </c>
      <c r="D68" s="3">
        <f t="shared" si="0"/>
        <v>25000</v>
      </c>
      <c r="E68" s="1">
        <v>25000</v>
      </c>
      <c r="F68" s="1"/>
      <c r="G68" s="3">
        <f t="shared" si="4"/>
        <v>25000</v>
      </c>
      <c r="H68" s="1">
        <v>25000</v>
      </c>
      <c r="I68" s="1"/>
    </row>
    <row r="69" spans="1:9" ht="18" x14ac:dyDescent="0.3">
      <c r="A69" s="407"/>
      <c r="B69" s="231">
        <v>112</v>
      </c>
      <c r="C69" s="231">
        <v>266</v>
      </c>
      <c r="D69" s="3">
        <f t="shared" si="0"/>
        <v>0</v>
      </c>
      <c r="E69" s="1"/>
      <c r="F69" s="1"/>
      <c r="G69" s="3">
        <f t="shared" si="4"/>
        <v>0</v>
      </c>
      <c r="H69" s="1"/>
      <c r="I69" s="1"/>
    </row>
    <row r="70" spans="1:9" ht="78.75" customHeight="1" x14ac:dyDescent="0.3">
      <c r="A70" s="230" t="s">
        <v>29</v>
      </c>
      <c r="B70" s="231">
        <v>112</v>
      </c>
      <c r="C70" s="231">
        <v>267</v>
      </c>
      <c r="D70" s="3">
        <f t="shared" si="0"/>
        <v>0</v>
      </c>
      <c r="E70" s="1"/>
      <c r="F70" s="1"/>
      <c r="G70" s="3">
        <f t="shared" si="4"/>
        <v>0</v>
      </c>
      <c r="H70" s="1"/>
      <c r="I70" s="1"/>
    </row>
    <row r="71" spans="1:9" ht="24.75" customHeight="1" x14ac:dyDescent="0.3">
      <c r="A71" s="230" t="s">
        <v>30</v>
      </c>
      <c r="B71" s="231" t="s">
        <v>5</v>
      </c>
      <c r="C71" s="231">
        <v>290</v>
      </c>
      <c r="D71" s="3">
        <f t="shared" si="0"/>
        <v>89000</v>
      </c>
      <c r="E71" s="1">
        <f>E73+E77+E78+E79+E80+E87</f>
        <v>89000</v>
      </c>
      <c r="F71" s="1">
        <f>F73+F77+F78+F79+F80+F87</f>
        <v>0</v>
      </c>
      <c r="G71" s="3">
        <f t="shared" si="4"/>
        <v>89000</v>
      </c>
      <c r="H71" s="1">
        <f>H73+H77+H78+H79+H80+H87</f>
        <v>89000</v>
      </c>
      <c r="I71" s="1">
        <f>I73+I77+I78+I79+I80+I87</f>
        <v>0</v>
      </c>
    </row>
    <row r="72" spans="1:9" ht="24.75" customHeight="1" x14ac:dyDescent="0.3">
      <c r="A72" s="230" t="s">
        <v>9</v>
      </c>
      <c r="B72" s="231"/>
      <c r="C72" s="231"/>
      <c r="D72" s="3">
        <f t="shared" si="0"/>
        <v>0</v>
      </c>
      <c r="E72" s="1"/>
      <c r="F72" s="1"/>
      <c r="G72" s="3">
        <f t="shared" si="4"/>
        <v>0</v>
      </c>
      <c r="H72" s="1"/>
      <c r="I72" s="1"/>
    </row>
    <row r="73" spans="1:9" ht="42" customHeight="1" x14ac:dyDescent="0.3">
      <c r="A73" s="230" t="s">
        <v>31</v>
      </c>
      <c r="B73" s="231" t="s">
        <v>5</v>
      </c>
      <c r="C73" s="231">
        <v>291</v>
      </c>
      <c r="D73" s="3">
        <f t="shared" si="0"/>
        <v>89000</v>
      </c>
      <c r="E73" s="1">
        <f>E74+E75+E76</f>
        <v>89000</v>
      </c>
      <c r="F73" s="1">
        <f>F74+F75+F76</f>
        <v>0</v>
      </c>
      <c r="G73" s="3">
        <f t="shared" si="4"/>
        <v>89000</v>
      </c>
      <c r="H73" s="1">
        <f>H74+H75+H76</f>
        <v>89000</v>
      </c>
      <c r="I73" s="1">
        <f>I74+I75+I76</f>
        <v>0</v>
      </c>
    </row>
    <row r="74" spans="1:9" ht="18" x14ac:dyDescent="0.3">
      <c r="A74" s="407" t="s">
        <v>6</v>
      </c>
      <c r="B74" s="231">
        <v>851</v>
      </c>
      <c r="C74" s="231">
        <v>291</v>
      </c>
      <c r="D74" s="3">
        <f t="shared" si="0"/>
        <v>80000</v>
      </c>
      <c r="E74" s="1">
        <v>80000</v>
      </c>
      <c r="F74" s="1"/>
      <c r="G74" s="3">
        <f t="shared" si="4"/>
        <v>80000</v>
      </c>
      <c r="H74" s="1">
        <v>80000</v>
      </c>
      <c r="I74" s="1"/>
    </row>
    <row r="75" spans="1:9" ht="18" x14ac:dyDescent="0.3">
      <c r="A75" s="407"/>
      <c r="B75" s="231">
        <v>852</v>
      </c>
      <c r="C75" s="231">
        <v>291</v>
      </c>
      <c r="D75" s="3">
        <f t="shared" si="0"/>
        <v>9000</v>
      </c>
      <c r="E75" s="1">
        <v>9000</v>
      </c>
      <c r="F75" s="1"/>
      <c r="G75" s="3">
        <f t="shared" si="4"/>
        <v>9000</v>
      </c>
      <c r="H75" s="1">
        <v>9000</v>
      </c>
      <c r="I75" s="1"/>
    </row>
    <row r="76" spans="1:9" ht="18" x14ac:dyDescent="0.3">
      <c r="A76" s="407"/>
      <c r="B76" s="231">
        <v>853</v>
      </c>
      <c r="C76" s="231">
        <v>291</v>
      </c>
      <c r="D76" s="3">
        <f t="shared" si="0"/>
        <v>0</v>
      </c>
      <c r="E76" s="1"/>
      <c r="F76" s="1"/>
      <c r="G76" s="3">
        <f t="shared" si="4"/>
        <v>0</v>
      </c>
      <c r="H76" s="1"/>
      <c r="I76" s="1"/>
    </row>
    <row r="77" spans="1:9" ht="90" x14ac:dyDescent="0.3">
      <c r="A77" s="230" t="s">
        <v>32</v>
      </c>
      <c r="B77" s="231">
        <v>853</v>
      </c>
      <c r="C77" s="231">
        <v>292</v>
      </c>
      <c r="D77" s="3">
        <f t="shared" ref="D77:D110" si="5">E77+F77</f>
        <v>0</v>
      </c>
      <c r="E77" s="1"/>
      <c r="F77" s="1">
        <v>0</v>
      </c>
      <c r="G77" s="3">
        <f t="shared" si="4"/>
        <v>0</v>
      </c>
      <c r="H77" s="1"/>
      <c r="I77" s="1">
        <v>0</v>
      </c>
    </row>
    <row r="78" spans="1:9" ht="120.75" customHeight="1" x14ac:dyDescent="0.3">
      <c r="A78" s="230" t="s">
        <v>33</v>
      </c>
      <c r="B78" s="231">
        <v>853</v>
      </c>
      <c r="C78" s="231">
        <v>293</v>
      </c>
      <c r="D78" s="3">
        <f t="shared" si="5"/>
        <v>0</v>
      </c>
      <c r="E78" s="1"/>
      <c r="F78" s="1">
        <v>0</v>
      </c>
      <c r="G78" s="3">
        <f t="shared" si="4"/>
        <v>0</v>
      </c>
      <c r="H78" s="1"/>
      <c r="I78" s="1">
        <v>0</v>
      </c>
    </row>
    <row r="79" spans="1:9" ht="36" x14ac:dyDescent="0.3">
      <c r="A79" s="230" t="s">
        <v>157</v>
      </c>
      <c r="B79" s="231">
        <v>853</v>
      </c>
      <c r="C79" s="231">
        <v>295</v>
      </c>
      <c r="D79" s="3">
        <f t="shared" si="5"/>
        <v>0</v>
      </c>
      <c r="E79" s="1"/>
      <c r="F79" s="1">
        <v>0</v>
      </c>
      <c r="G79" s="3">
        <f t="shared" si="4"/>
        <v>0</v>
      </c>
      <c r="H79" s="1"/>
      <c r="I79" s="1">
        <v>0</v>
      </c>
    </row>
    <row r="80" spans="1:9" ht="54" x14ac:dyDescent="0.3">
      <c r="A80" s="230" t="s">
        <v>34</v>
      </c>
      <c r="B80" s="231" t="s">
        <v>5</v>
      </c>
      <c r="C80" s="231">
        <v>296</v>
      </c>
      <c r="D80" s="3">
        <f t="shared" si="5"/>
        <v>0</v>
      </c>
      <c r="E80" s="1">
        <f>E81+E82+E83+E84+E86</f>
        <v>0</v>
      </c>
      <c r="F80" s="1">
        <f>F81+F82+F83+F84+F86</f>
        <v>0</v>
      </c>
      <c r="G80" s="3">
        <f t="shared" si="4"/>
        <v>0</v>
      </c>
      <c r="H80" s="1">
        <f>H81+H82+H83+H84+H86</f>
        <v>0</v>
      </c>
      <c r="I80" s="1">
        <f>I81+I82+I83+I84+I86</f>
        <v>0</v>
      </c>
    </row>
    <row r="81" spans="1:9" ht="18" x14ac:dyDescent="0.3">
      <c r="A81" s="407" t="s">
        <v>6</v>
      </c>
      <c r="B81" s="231">
        <v>244</v>
      </c>
      <c r="C81" s="231">
        <v>296</v>
      </c>
      <c r="D81" s="3">
        <f t="shared" si="5"/>
        <v>0</v>
      </c>
      <c r="E81" s="1"/>
      <c r="F81" s="1"/>
      <c r="G81" s="3">
        <f t="shared" si="4"/>
        <v>0</v>
      </c>
      <c r="H81" s="1"/>
      <c r="I81" s="1"/>
    </row>
    <row r="82" spans="1:9" ht="18" x14ac:dyDescent="0.3">
      <c r="A82" s="407"/>
      <c r="B82" s="231">
        <v>340</v>
      </c>
      <c r="C82" s="231">
        <v>296</v>
      </c>
      <c r="D82" s="3">
        <f t="shared" si="5"/>
        <v>0</v>
      </c>
      <c r="E82" s="1"/>
      <c r="F82" s="1"/>
      <c r="G82" s="3">
        <f t="shared" si="4"/>
        <v>0</v>
      </c>
      <c r="H82" s="1"/>
      <c r="I82" s="1"/>
    </row>
    <row r="83" spans="1:9" ht="18" x14ac:dyDescent="0.3">
      <c r="A83" s="407"/>
      <c r="B83" s="231">
        <v>350</v>
      </c>
      <c r="C83" s="231">
        <v>296</v>
      </c>
      <c r="D83" s="3">
        <f t="shared" si="5"/>
        <v>0</v>
      </c>
      <c r="E83" s="1"/>
      <c r="F83" s="1"/>
      <c r="G83" s="3">
        <f t="shared" si="4"/>
        <v>0</v>
      </c>
      <c r="H83" s="1"/>
      <c r="I83" s="1"/>
    </row>
    <row r="84" spans="1:9" ht="18" x14ac:dyDescent="0.3">
      <c r="A84" s="407"/>
      <c r="B84" s="231">
        <v>360</v>
      </c>
      <c r="C84" s="231">
        <v>296</v>
      </c>
      <c r="D84" s="3">
        <f t="shared" si="5"/>
        <v>0</v>
      </c>
      <c r="E84" s="1"/>
      <c r="F84" s="1"/>
      <c r="G84" s="3">
        <f t="shared" si="4"/>
        <v>0</v>
      </c>
      <c r="H84" s="1"/>
      <c r="I84" s="1"/>
    </row>
    <row r="85" spans="1:9" ht="18" x14ac:dyDescent="0.3">
      <c r="A85" s="407"/>
      <c r="B85" s="368">
        <v>831</v>
      </c>
      <c r="C85" s="368">
        <v>296</v>
      </c>
      <c r="D85" s="3">
        <f>E85</f>
        <v>0</v>
      </c>
      <c r="E85" s="1"/>
      <c r="F85" s="1"/>
      <c r="G85" s="3">
        <f>H85</f>
        <v>0</v>
      </c>
      <c r="H85" s="1"/>
      <c r="I85" s="1"/>
    </row>
    <row r="86" spans="1:9" ht="18" x14ac:dyDescent="0.3">
      <c r="A86" s="407"/>
      <c r="B86" s="231">
        <v>853</v>
      </c>
      <c r="C86" s="231">
        <v>296</v>
      </c>
      <c r="D86" s="3">
        <f t="shared" si="5"/>
        <v>0</v>
      </c>
      <c r="E86" s="1"/>
      <c r="F86" s="1"/>
      <c r="G86" s="3">
        <f t="shared" si="4"/>
        <v>0</v>
      </c>
      <c r="H86" s="1"/>
      <c r="I86" s="1"/>
    </row>
    <row r="87" spans="1:9" ht="51.75" customHeight="1" x14ac:dyDescent="0.3">
      <c r="A87" s="202" t="s">
        <v>35</v>
      </c>
      <c r="B87" s="231" t="s">
        <v>5</v>
      </c>
      <c r="C87" s="231">
        <v>297</v>
      </c>
      <c r="D87" s="3">
        <f t="shared" si="5"/>
        <v>0</v>
      </c>
      <c r="E87" s="1">
        <f>E88+E91</f>
        <v>0</v>
      </c>
      <c r="F87" s="1">
        <f>F88+F91</f>
        <v>0</v>
      </c>
      <c r="G87" s="3">
        <f t="shared" si="4"/>
        <v>0</v>
      </c>
      <c r="H87" s="1">
        <f>H88+H91</f>
        <v>0</v>
      </c>
      <c r="I87" s="1">
        <f>I88+I91</f>
        <v>0</v>
      </c>
    </row>
    <row r="88" spans="1:9" ht="18" x14ac:dyDescent="0.3">
      <c r="A88" s="407" t="s">
        <v>6</v>
      </c>
      <c r="B88" s="231">
        <v>244</v>
      </c>
      <c r="C88" s="231">
        <v>297</v>
      </c>
      <c r="D88" s="3">
        <f t="shared" si="5"/>
        <v>0</v>
      </c>
      <c r="E88" s="1"/>
      <c r="F88" s="1"/>
      <c r="G88" s="3">
        <f t="shared" si="4"/>
        <v>0</v>
      </c>
      <c r="H88" s="1"/>
      <c r="I88" s="1"/>
    </row>
    <row r="89" spans="1:9" ht="18" x14ac:dyDescent="0.3">
      <c r="A89" s="407"/>
      <c r="B89" s="368">
        <v>613</v>
      </c>
      <c r="C89" s="368">
        <v>297</v>
      </c>
      <c r="D89" s="3">
        <f>E89</f>
        <v>0</v>
      </c>
      <c r="E89" s="1"/>
      <c r="F89" s="1"/>
      <c r="G89" s="3">
        <f>H89</f>
        <v>0</v>
      </c>
      <c r="H89" s="1"/>
      <c r="I89" s="1"/>
    </row>
    <row r="90" spans="1:9" ht="18" x14ac:dyDescent="0.3">
      <c r="A90" s="407"/>
      <c r="B90" s="318">
        <v>831</v>
      </c>
      <c r="C90" s="318">
        <v>297</v>
      </c>
      <c r="D90" s="3">
        <v>0</v>
      </c>
      <c r="E90" s="1"/>
      <c r="F90" s="1"/>
      <c r="G90" s="3">
        <v>0</v>
      </c>
      <c r="H90" s="1"/>
      <c r="I90" s="1"/>
    </row>
    <row r="91" spans="1:9" ht="18" x14ac:dyDescent="0.3">
      <c r="A91" s="407"/>
      <c r="B91" s="231">
        <v>853</v>
      </c>
      <c r="C91" s="231">
        <v>297</v>
      </c>
      <c r="D91" s="3">
        <f t="shared" si="5"/>
        <v>0</v>
      </c>
      <c r="E91" s="1"/>
      <c r="F91" s="1"/>
      <c r="G91" s="3">
        <f t="shared" si="4"/>
        <v>0</v>
      </c>
      <c r="H91" s="1"/>
      <c r="I91" s="1"/>
    </row>
    <row r="92" spans="1:9" ht="54" x14ac:dyDescent="0.3">
      <c r="A92" s="230" t="s">
        <v>59</v>
      </c>
      <c r="B92" s="231" t="s">
        <v>5</v>
      </c>
      <c r="C92" s="231">
        <v>300</v>
      </c>
      <c r="D92" s="3">
        <f t="shared" si="5"/>
        <v>5040000</v>
      </c>
      <c r="E92" s="1">
        <f>E94+E96+E95</f>
        <v>5040000</v>
      </c>
      <c r="F92" s="1">
        <f>F94+F96+F95</f>
        <v>0</v>
      </c>
      <c r="G92" s="3">
        <f t="shared" si="4"/>
        <v>5040000</v>
      </c>
      <c r="H92" s="1">
        <f>H94+H96+H95</f>
        <v>5040000</v>
      </c>
      <c r="I92" s="1">
        <f>I94+I96+I95</f>
        <v>0</v>
      </c>
    </row>
    <row r="93" spans="1:9" ht="18" x14ac:dyDescent="0.3">
      <c r="A93" s="230" t="s">
        <v>9</v>
      </c>
      <c r="B93" s="231"/>
      <c r="C93" s="231"/>
      <c r="D93" s="3"/>
      <c r="E93" s="1"/>
      <c r="F93" s="1"/>
      <c r="G93" s="3"/>
      <c r="H93" s="1"/>
      <c r="I93" s="1"/>
    </row>
    <row r="94" spans="1:9" ht="36" x14ac:dyDescent="0.3">
      <c r="A94" s="230" t="s">
        <v>36</v>
      </c>
      <c r="B94" s="231">
        <v>244</v>
      </c>
      <c r="C94" s="231">
        <v>310</v>
      </c>
      <c r="D94" s="3">
        <f t="shared" si="5"/>
        <v>1500000</v>
      </c>
      <c r="E94" s="1">
        <v>1500000</v>
      </c>
      <c r="F94" s="1"/>
      <c r="G94" s="3">
        <f>H94+I94</f>
        <v>1500000</v>
      </c>
      <c r="H94" s="1">
        <v>1500000</v>
      </c>
      <c r="I94" s="1"/>
    </row>
    <row r="95" spans="1:9" ht="54" x14ac:dyDescent="0.3">
      <c r="A95" s="230" t="s">
        <v>68</v>
      </c>
      <c r="B95" s="231">
        <v>244</v>
      </c>
      <c r="C95" s="231">
        <v>320</v>
      </c>
      <c r="D95" s="3">
        <f t="shared" si="5"/>
        <v>0</v>
      </c>
      <c r="E95" s="1"/>
      <c r="F95" s="1"/>
      <c r="G95" s="3">
        <f>H95+I95</f>
        <v>0</v>
      </c>
      <c r="H95" s="1"/>
      <c r="I95" s="1"/>
    </row>
    <row r="96" spans="1:9" ht="54" x14ac:dyDescent="0.3">
      <c r="A96" s="230" t="s">
        <v>60</v>
      </c>
      <c r="B96" s="231" t="s">
        <v>5</v>
      </c>
      <c r="C96" s="231">
        <v>340</v>
      </c>
      <c r="D96" s="3">
        <f t="shared" si="5"/>
        <v>3540000</v>
      </c>
      <c r="E96" s="1">
        <f>E98+E99+E100+E101+E102+E103+E105</f>
        <v>3540000</v>
      </c>
      <c r="F96" s="1">
        <f>F98+F99+F100+F101+F102+F103+F105</f>
        <v>0</v>
      </c>
      <c r="G96" s="3">
        <f>H96+I96</f>
        <v>3540000</v>
      </c>
      <c r="H96" s="1">
        <f>H98+H99+H100+H101+H102+H103+H105</f>
        <v>3540000</v>
      </c>
      <c r="I96" s="1">
        <f>I98+I99+I100+I101+I102+I103+I105</f>
        <v>0</v>
      </c>
    </row>
    <row r="97" spans="1:9" ht="18" x14ac:dyDescent="0.3">
      <c r="A97" s="230" t="s">
        <v>6</v>
      </c>
      <c r="B97" s="231"/>
      <c r="C97" s="231"/>
      <c r="D97" s="3"/>
      <c r="E97" s="1"/>
      <c r="F97" s="1"/>
      <c r="G97" s="3"/>
      <c r="H97" s="1"/>
      <c r="I97" s="1"/>
    </row>
    <row r="98" spans="1:9" ht="108" x14ac:dyDescent="0.3">
      <c r="A98" s="230" t="s">
        <v>37</v>
      </c>
      <c r="B98" s="231">
        <v>244</v>
      </c>
      <c r="C98" s="231">
        <v>341</v>
      </c>
      <c r="D98" s="3">
        <f t="shared" si="5"/>
        <v>0</v>
      </c>
      <c r="E98" s="1"/>
      <c r="F98" s="1"/>
      <c r="G98" s="3">
        <f t="shared" ref="G98:G106" si="6">H98+I98</f>
        <v>0</v>
      </c>
      <c r="H98" s="1"/>
      <c r="I98" s="1"/>
    </row>
    <row r="99" spans="1:9" ht="36" x14ac:dyDescent="0.3">
      <c r="A99" s="230" t="s">
        <v>38</v>
      </c>
      <c r="B99" s="231">
        <v>244</v>
      </c>
      <c r="C99" s="231">
        <v>342</v>
      </c>
      <c r="D99" s="3">
        <f t="shared" si="5"/>
        <v>0</v>
      </c>
      <c r="E99" s="1"/>
      <c r="F99" s="1"/>
      <c r="G99" s="3">
        <f t="shared" si="6"/>
        <v>0</v>
      </c>
      <c r="H99" s="1"/>
      <c r="I99" s="1"/>
    </row>
    <row r="100" spans="1:9" ht="54" x14ac:dyDescent="0.3">
      <c r="A100" s="230" t="s">
        <v>39</v>
      </c>
      <c r="B100" s="231">
        <v>244</v>
      </c>
      <c r="C100" s="231">
        <v>343</v>
      </c>
      <c r="D100" s="3">
        <f t="shared" si="5"/>
        <v>600000</v>
      </c>
      <c r="E100" s="1">
        <v>600000</v>
      </c>
      <c r="F100" s="1"/>
      <c r="G100" s="3">
        <f t="shared" si="6"/>
        <v>600000</v>
      </c>
      <c r="H100" s="1">
        <v>600000</v>
      </c>
      <c r="I100" s="1"/>
    </row>
    <row r="101" spans="1:9" ht="54" x14ac:dyDescent="0.3">
      <c r="A101" s="230" t="s">
        <v>40</v>
      </c>
      <c r="B101" s="231">
        <v>244</v>
      </c>
      <c r="C101" s="231">
        <v>344</v>
      </c>
      <c r="D101" s="3">
        <f t="shared" si="5"/>
        <v>200000</v>
      </c>
      <c r="E101" s="1">
        <v>200000</v>
      </c>
      <c r="F101" s="1"/>
      <c r="G101" s="3">
        <f t="shared" si="6"/>
        <v>200000</v>
      </c>
      <c r="H101" s="1">
        <v>200000</v>
      </c>
      <c r="I101" s="1"/>
    </row>
    <row r="102" spans="1:9" ht="36" x14ac:dyDescent="0.3">
      <c r="A102" s="230" t="s">
        <v>41</v>
      </c>
      <c r="B102" s="231">
        <v>244</v>
      </c>
      <c r="C102" s="231">
        <v>345</v>
      </c>
      <c r="D102" s="3">
        <f t="shared" si="5"/>
        <v>150000</v>
      </c>
      <c r="E102" s="1">
        <v>150000</v>
      </c>
      <c r="F102" s="1"/>
      <c r="G102" s="3">
        <f t="shared" si="6"/>
        <v>150000</v>
      </c>
      <c r="H102" s="1">
        <v>150000</v>
      </c>
      <c r="I102" s="1"/>
    </row>
    <row r="103" spans="1:9" ht="54" x14ac:dyDescent="0.3">
      <c r="A103" s="230" t="s">
        <v>42</v>
      </c>
      <c r="B103" s="231">
        <v>244</v>
      </c>
      <c r="C103" s="231">
        <v>346</v>
      </c>
      <c r="D103" s="3">
        <f t="shared" si="5"/>
        <v>2300000</v>
      </c>
      <c r="E103" s="1">
        <v>2300000</v>
      </c>
      <c r="F103" s="1"/>
      <c r="G103" s="3">
        <f t="shared" si="6"/>
        <v>2300000</v>
      </c>
      <c r="H103" s="1">
        <v>2300000</v>
      </c>
      <c r="I103" s="1"/>
    </row>
    <row r="104" spans="1:9" ht="72" x14ac:dyDescent="0.3">
      <c r="A104" s="261" t="s">
        <v>446</v>
      </c>
      <c r="B104" s="262">
        <v>244</v>
      </c>
      <c r="C104" s="262">
        <v>347</v>
      </c>
      <c r="D104" s="3">
        <v>0</v>
      </c>
      <c r="E104" s="1"/>
      <c r="F104" s="1">
        <v>0</v>
      </c>
      <c r="G104" s="3">
        <v>0</v>
      </c>
      <c r="H104" s="1"/>
      <c r="I104" s="1">
        <v>0</v>
      </c>
    </row>
    <row r="105" spans="1:9" ht="72" x14ac:dyDescent="0.3">
      <c r="A105" s="230" t="s">
        <v>43</v>
      </c>
      <c r="B105" s="231">
        <v>244</v>
      </c>
      <c r="C105" s="231">
        <v>349</v>
      </c>
      <c r="D105" s="3">
        <f t="shared" si="5"/>
        <v>290000</v>
      </c>
      <c r="E105" s="1">
        <v>290000</v>
      </c>
      <c r="F105" s="1"/>
      <c r="G105" s="3">
        <f t="shared" si="6"/>
        <v>290000</v>
      </c>
      <c r="H105" s="1">
        <v>290000</v>
      </c>
      <c r="I105" s="1"/>
    </row>
    <row r="106" spans="1:9" ht="54" x14ac:dyDescent="0.3">
      <c r="A106" s="230" t="s">
        <v>67</v>
      </c>
      <c r="B106" s="231" t="s">
        <v>5</v>
      </c>
      <c r="C106" s="231" t="s">
        <v>5</v>
      </c>
      <c r="D106" s="3">
        <f t="shared" si="5"/>
        <v>-144603</v>
      </c>
      <c r="E106" s="1">
        <f>E108+E109+E110</f>
        <v>-144603</v>
      </c>
      <c r="F106" s="1">
        <f>F108+F109+F110</f>
        <v>0</v>
      </c>
      <c r="G106" s="3">
        <f t="shared" si="6"/>
        <v>-144603</v>
      </c>
      <c r="H106" s="1">
        <f>H108+H109+H110</f>
        <v>-144603</v>
      </c>
      <c r="I106" s="1">
        <f>I108+I109+I110</f>
        <v>0</v>
      </c>
    </row>
    <row r="107" spans="1:9" ht="18" x14ac:dyDescent="0.3">
      <c r="A107" s="230" t="s">
        <v>6</v>
      </c>
      <c r="B107" s="231"/>
      <c r="C107" s="231"/>
      <c r="D107" s="3"/>
      <c r="E107" s="1"/>
      <c r="F107" s="1"/>
      <c r="G107" s="3"/>
      <c r="H107" s="1"/>
      <c r="I107" s="1"/>
    </row>
    <row r="108" spans="1:9" ht="18" x14ac:dyDescent="0.3">
      <c r="A108" s="230" t="s">
        <v>193</v>
      </c>
      <c r="B108" s="231">
        <v>180</v>
      </c>
      <c r="C108" s="231" t="s">
        <v>5</v>
      </c>
      <c r="D108" s="3">
        <f t="shared" si="5"/>
        <v>0</v>
      </c>
      <c r="E108" s="1"/>
      <c r="F108" s="1"/>
      <c r="G108" s="3">
        <f>H108+I108</f>
        <v>0</v>
      </c>
      <c r="H108" s="1"/>
      <c r="I108" s="1"/>
    </row>
    <row r="109" spans="1:9" ht="36" x14ac:dyDescent="0.3">
      <c r="A109" s="230" t="s">
        <v>194</v>
      </c>
      <c r="B109" s="231">
        <v>180</v>
      </c>
      <c r="C109" s="231" t="s">
        <v>5</v>
      </c>
      <c r="D109" s="3">
        <f t="shared" si="5"/>
        <v>-144603</v>
      </c>
      <c r="E109" s="1">
        <v>-144603</v>
      </c>
      <c r="F109" s="1"/>
      <c r="G109" s="3">
        <f>H109+I109</f>
        <v>-144603</v>
      </c>
      <c r="H109" s="1">
        <v>-144603</v>
      </c>
      <c r="I109" s="1"/>
    </row>
    <row r="110" spans="1:9" ht="36" x14ac:dyDescent="0.3">
      <c r="A110" s="230" t="s">
        <v>195</v>
      </c>
      <c r="B110" s="231">
        <v>180</v>
      </c>
      <c r="C110" s="231" t="s">
        <v>5</v>
      </c>
      <c r="D110" s="3">
        <f t="shared" si="5"/>
        <v>0</v>
      </c>
      <c r="E110" s="1"/>
      <c r="F110" s="1"/>
      <c r="G110" s="3">
        <f>H110+I110</f>
        <v>0</v>
      </c>
      <c r="H110" s="1"/>
      <c r="I110" s="1"/>
    </row>
    <row r="111" spans="1:9" ht="18" x14ac:dyDescent="0.35">
      <c r="A111" s="27"/>
      <c r="B111" s="8"/>
      <c r="C111" s="8"/>
      <c r="D111" s="8"/>
      <c r="E111" s="8"/>
      <c r="F111" s="8"/>
    </row>
    <row r="112" spans="1:9" ht="18" x14ac:dyDescent="0.35">
      <c r="A112" s="396" t="s">
        <v>52</v>
      </c>
      <c r="B112" s="396"/>
      <c r="C112" s="400"/>
      <c r="D112" s="400"/>
      <c r="E112" s="400" t="s">
        <v>267</v>
      </c>
      <c r="F112" s="400"/>
    </row>
    <row r="113" spans="1:16" ht="18" x14ac:dyDescent="0.35">
      <c r="A113" s="27"/>
      <c r="B113" s="174"/>
      <c r="C113" s="173"/>
      <c r="D113" s="173" t="s">
        <v>53</v>
      </c>
      <c r="E113" s="401" t="s">
        <v>54</v>
      </c>
      <c r="F113" s="401"/>
    </row>
    <row r="114" spans="1:16" ht="18" x14ac:dyDescent="0.35">
      <c r="A114" s="27"/>
      <c r="B114" s="176"/>
      <c r="C114" s="8"/>
      <c r="D114" s="8"/>
      <c r="E114" s="8"/>
      <c r="F114" s="8"/>
    </row>
    <row r="115" spans="1:16" ht="18" x14ac:dyDescent="0.35">
      <c r="A115" s="395" t="s">
        <v>55</v>
      </c>
      <c r="B115" s="395"/>
      <c r="C115" s="400"/>
      <c r="D115" s="400"/>
      <c r="E115" s="400" t="s">
        <v>464</v>
      </c>
      <c r="F115" s="400"/>
    </row>
    <row r="116" spans="1:16" ht="18" x14ac:dyDescent="0.35">
      <c r="A116" s="27"/>
      <c r="B116" s="174"/>
      <c r="C116" s="173"/>
      <c r="D116" s="173" t="s">
        <v>53</v>
      </c>
      <c r="E116" s="401" t="s">
        <v>54</v>
      </c>
      <c r="F116" s="401"/>
    </row>
    <row r="117" spans="1:16" ht="18" x14ac:dyDescent="0.35">
      <c r="A117" s="27"/>
      <c r="B117" s="175"/>
      <c r="C117" s="114"/>
      <c r="D117" s="8"/>
      <c r="E117" s="104"/>
      <c r="F117" s="104"/>
    </row>
    <row r="118" spans="1:16" ht="18" x14ac:dyDescent="0.35">
      <c r="A118" s="27" t="s">
        <v>56</v>
      </c>
      <c r="B118" s="174"/>
      <c r="C118" s="400"/>
      <c r="D118" s="400"/>
      <c r="E118" s="400" t="s">
        <v>268</v>
      </c>
      <c r="F118" s="400"/>
    </row>
    <row r="119" spans="1:16" ht="18" x14ac:dyDescent="0.35">
      <c r="A119" s="27"/>
      <c r="B119" s="174"/>
      <c r="C119" s="173"/>
      <c r="D119" s="173" t="s">
        <v>53</v>
      </c>
      <c r="E119" s="401" t="s">
        <v>54</v>
      </c>
      <c r="F119" s="401"/>
    </row>
    <row r="120" spans="1:16" ht="18" x14ac:dyDescent="0.35">
      <c r="A120" s="27" t="s">
        <v>428</v>
      </c>
      <c r="B120" s="8"/>
      <c r="C120" s="8"/>
      <c r="D120" s="8"/>
      <c r="E120" s="8"/>
      <c r="F120" s="8"/>
    </row>
    <row r="121" spans="1:16" ht="18" x14ac:dyDescent="0.35">
      <c r="A121" s="396" t="s">
        <v>483</v>
      </c>
      <c r="B121" s="396"/>
      <c r="C121" s="8"/>
      <c r="D121" s="8"/>
      <c r="E121" s="8"/>
      <c r="F121" s="8"/>
    </row>
    <row r="122" spans="1:16" ht="18" x14ac:dyDescent="0.35">
      <c r="A122" s="152"/>
      <c r="B122" s="152"/>
      <c r="C122" s="8"/>
      <c r="D122" s="8"/>
      <c r="E122" s="8"/>
      <c r="F122" s="8"/>
    </row>
    <row r="123" spans="1:16" ht="17.399999999999999" x14ac:dyDescent="0.3">
      <c r="A123" s="564" t="s">
        <v>191</v>
      </c>
      <c r="B123" s="564"/>
      <c r="C123" s="564"/>
      <c r="D123" s="564"/>
      <c r="E123" s="564"/>
      <c r="F123" s="564"/>
      <c r="G123" s="564"/>
      <c r="H123" s="564"/>
      <c r="I123" s="564"/>
      <c r="K123" s="563" t="s">
        <v>232</v>
      </c>
      <c r="L123" s="563"/>
      <c r="M123" s="563"/>
      <c r="N123" s="563" t="s">
        <v>233</v>
      </c>
      <c r="O123" s="563"/>
      <c r="P123" s="563"/>
    </row>
    <row r="124" spans="1:16" ht="43.2" x14ac:dyDescent="0.3">
      <c r="A124" s="48" t="s">
        <v>235</v>
      </c>
      <c r="B124" s="52" t="s">
        <v>5</v>
      </c>
      <c r="C124" s="52" t="s">
        <v>5</v>
      </c>
      <c r="D124" s="3">
        <f>E124+F124</f>
        <v>12381460</v>
      </c>
      <c r="E124" s="1">
        <v>12381460</v>
      </c>
      <c r="F124" s="2"/>
      <c r="G124" s="3">
        <f>H124+I124</f>
        <v>12381460</v>
      </c>
      <c r="H124" s="1">
        <v>12381460</v>
      </c>
      <c r="I124" s="2"/>
      <c r="J124" s="34"/>
      <c r="K124" s="65" t="s">
        <v>229</v>
      </c>
      <c r="L124" s="65" t="s">
        <v>230</v>
      </c>
      <c r="M124" s="65" t="s">
        <v>231</v>
      </c>
      <c r="N124" s="65" t="s">
        <v>229</v>
      </c>
      <c r="O124" s="65" t="s">
        <v>230</v>
      </c>
      <c r="P124" s="65" t="s">
        <v>231</v>
      </c>
    </row>
    <row r="125" spans="1:16" ht="18" x14ac:dyDescent="0.3">
      <c r="A125" s="48" t="s">
        <v>7</v>
      </c>
      <c r="B125" s="52" t="s">
        <v>5</v>
      </c>
      <c r="C125" s="52">
        <v>900</v>
      </c>
      <c r="D125" s="3">
        <f>E125+F125</f>
        <v>12761057</v>
      </c>
      <c r="E125" s="1">
        <f>E128+E156+E170+E198</f>
        <v>12761057</v>
      </c>
      <c r="F125" s="1">
        <f>F128+F156</f>
        <v>0</v>
      </c>
      <c r="G125" s="3">
        <f>H125+I125</f>
        <v>12761057</v>
      </c>
      <c r="H125" s="1">
        <f>H128+H156+H170+H198</f>
        <v>12761057</v>
      </c>
      <c r="I125" s="1">
        <f>I128+I156</f>
        <v>0</v>
      </c>
      <c r="J125" s="34"/>
      <c r="K125" s="66">
        <f>E31+E32+E33+E35+E41+E58+E59+E60+E66+E68+E69+E70+E74+E75+E76+E77+E78+E79+E82+E83+E84+E86+E91</f>
        <v>13706940</v>
      </c>
      <c r="L125" s="66">
        <f>K125+D125</f>
        <v>26467997</v>
      </c>
      <c r="M125" s="66">
        <f>L125-E25</f>
        <v>0</v>
      </c>
      <c r="N125" s="66">
        <f>H31+H32+H33+H35+H41+H58+H59+H60+H66+H68+H69+H70+H74+H75+H76+H77+H78+H79+H82+H83+H84+H86+H91</f>
        <v>13706940</v>
      </c>
      <c r="O125" s="66">
        <f>N125+G125</f>
        <v>26467997</v>
      </c>
      <c r="P125" s="66">
        <f>O125-H25</f>
        <v>0</v>
      </c>
    </row>
    <row r="126" spans="1:16" ht="18" x14ac:dyDescent="0.3">
      <c r="A126" s="48" t="s">
        <v>6</v>
      </c>
      <c r="B126" s="52"/>
      <c r="C126" s="52"/>
      <c r="D126" s="3"/>
      <c r="E126" s="1"/>
      <c r="F126" s="2"/>
      <c r="G126" s="3"/>
      <c r="H126" s="1"/>
      <c r="I126" s="2"/>
      <c r="J126" s="34"/>
      <c r="K126" s="34"/>
      <c r="L126" s="34"/>
    </row>
    <row r="127" spans="1:16" ht="17.399999999999999" customHeight="1" x14ac:dyDescent="0.3">
      <c r="A127" s="565" t="s">
        <v>199</v>
      </c>
      <c r="B127" s="566"/>
      <c r="C127" s="566"/>
      <c r="D127" s="566"/>
      <c r="E127" s="566"/>
      <c r="F127" s="566"/>
      <c r="G127" s="566"/>
      <c r="H127" s="566"/>
      <c r="I127" s="566"/>
      <c r="J127" s="70"/>
      <c r="K127" s="70"/>
      <c r="L127" s="70"/>
    </row>
    <row r="128" spans="1:16" ht="18" x14ac:dyDescent="0.3">
      <c r="A128" s="48" t="s">
        <v>8</v>
      </c>
      <c r="B128" s="52" t="s">
        <v>5</v>
      </c>
      <c r="C128" s="52">
        <v>200</v>
      </c>
      <c r="D128" s="3">
        <f t="shared" ref="D128:D160" si="7">E128+F128</f>
        <v>0</v>
      </c>
      <c r="E128" s="1">
        <f>E130+E133+E152</f>
        <v>0</v>
      </c>
      <c r="F128" s="1">
        <f>F130+F133+F152</f>
        <v>0</v>
      </c>
      <c r="G128" s="3">
        <f>H128+I128</f>
        <v>0</v>
      </c>
      <c r="H128" s="1">
        <f>H130+H133+H152</f>
        <v>0</v>
      </c>
      <c r="I128" s="1">
        <f>I130+I133+I152</f>
        <v>0</v>
      </c>
      <c r="J128" s="34"/>
      <c r="K128" s="34"/>
      <c r="L128" s="34"/>
    </row>
    <row r="129" spans="1:12" ht="18" x14ac:dyDescent="0.3">
      <c r="A129" s="48" t="s">
        <v>9</v>
      </c>
      <c r="B129" s="52"/>
      <c r="C129" s="52"/>
      <c r="D129" s="3"/>
      <c r="E129" s="1"/>
      <c r="F129" s="1"/>
      <c r="G129" s="3"/>
      <c r="H129" s="1"/>
      <c r="I129" s="1"/>
      <c r="J129" s="34"/>
      <c r="K129" s="34"/>
      <c r="L129" s="34"/>
    </row>
    <row r="130" spans="1:12" ht="72" x14ac:dyDescent="0.3">
      <c r="A130" s="48" t="s">
        <v>10</v>
      </c>
      <c r="B130" s="52" t="s">
        <v>5</v>
      </c>
      <c r="C130" s="52">
        <v>210</v>
      </c>
      <c r="D130" s="3">
        <f t="shared" si="7"/>
        <v>0</v>
      </c>
      <c r="E130" s="1">
        <f>E132</f>
        <v>0</v>
      </c>
      <c r="F130" s="1">
        <f>F132</f>
        <v>0</v>
      </c>
      <c r="G130" s="3">
        <f>H130+I130</f>
        <v>0</v>
      </c>
      <c r="H130" s="1">
        <f>H132</f>
        <v>0</v>
      </c>
      <c r="I130" s="1">
        <f>I132</f>
        <v>0</v>
      </c>
      <c r="J130" s="34"/>
      <c r="K130" s="34"/>
      <c r="L130" s="34"/>
    </row>
    <row r="131" spans="1:12" ht="18" x14ac:dyDescent="0.3">
      <c r="A131" s="48" t="s">
        <v>9</v>
      </c>
      <c r="B131" s="52"/>
      <c r="C131" s="52"/>
      <c r="D131" s="3"/>
      <c r="E131" s="1"/>
      <c r="F131" s="1"/>
      <c r="G131" s="3"/>
      <c r="H131" s="1"/>
      <c r="I131" s="1"/>
      <c r="J131" s="34"/>
      <c r="K131" s="34"/>
      <c r="L131" s="34"/>
    </row>
    <row r="132" spans="1:12" ht="54" x14ac:dyDescent="0.3">
      <c r="A132" s="48" t="s">
        <v>200</v>
      </c>
      <c r="B132" s="52">
        <v>244</v>
      </c>
      <c r="C132" s="52">
        <v>214</v>
      </c>
      <c r="D132" s="3">
        <f>E132+F132</f>
        <v>0</v>
      </c>
      <c r="E132" s="1"/>
      <c r="F132" s="1"/>
      <c r="G132" s="3">
        <f>H132+I132</f>
        <v>0</v>
      </c>
      <c r="H132" s="1"/>
      <c r="I132" s="1"/>
      <c r="J132" s="34"/>
      <c r="K132" s="34"/>
      <c r="L132" s="34"/>
    </row>
    <row r="133" spans="1:12" ht="36" x14ac:dyDescent="0.3">
      <c r="A133" s="48" t="s">
        <v>14</v>
      </c>
      <c r="B133" s="52" t="s">
        <v>5</v>
      </c>
      <c r="C133" s="52">
        <v>220</v>
      </c>
      <c r="D133" s="3">
        <f t="shared" si="7"/>
        <v>0</v>
      </c>
      <c r="E133" s="1">
        <f>E135+E136+E137+E144+E145+E148+E151</f>
        <v>0</v>
      </c>
      <c r="F133" s="1">
        <f>F135+F136+F137+F144+F145+F148+F151</f>
        <v>0</v>
      </c>
      <c r="G133" s="3">
        <f>H133+I133</f>
        <v>0</v>
      </c>
      <c r="H133" s="1">
        <f>H135+H136+H137+H144+H145+H148+H151</f>
        <v>0</v>
      </c>
      <c r="I133" s="1">
        <f>I135+I136+I137+I144+I145+I148+I151</f>
        <v>0</v>
      </c>
      <c r="J133" s="34"/>
      <c r="K133" s="34"/>
      <c r="L133" s="34"/>
    </row>
    <row r="134" spans="1:12" ht="18" x14ac:dyDescent="0.3">
      <c r="A134" s="48" t="s">
        <v>9</v>
      </c>
      <c r="B134" s="52"/>
      <c r="C134" s="52"/>
      <c r="D134" s="3"/>
      <c r="E134" s="1"/>
      <c r="F134" s="1"/>
      <c r="G134" s="3"/>
      <c r="H134" s="1"/>
      <c r="I134" s="1"/>
      <c r="J134" s="34"/>
      <c r="K134" s="34"/>
      <c r="L134" s="34"/>
    </row>
    <row r="135" spans="1:12" ht="18" x14ac:dyDescent="0.3">
      <c r="A135" s="48" t="s">
        <v>15</v>
      </c>
      <c r="B135" s="52">
        <v>244</v>
      </c>
      <c r="C135" s="52">
        <v>221</v>
      </c>
      <c r="D135" s="3">
        <f t="shared" si="7"/>
        <v>0</v>
      </c>
      <c r="E135" s="1"/>
      <c r="F135" s="1"/>
      <c r="G135" s="3">
        <f>H135+I135</f>
        <v>0</v>
      </c>
      <c r="H135" s="1"/>
      <c r="I135" s="1"/>
      <c r="J135" s="34"/>
      <c r="K135" s="34"/>
      <c r="L135" s="34"/>
    </row>
    <row r="136" spans="1:12" ht="36" x14ac:dyDescent="0.3">
      <c r="A136" s="48" t="s">
        <v>16</v>
      </c>
      <c r="B136" s="52">
        <v>244</v>
      </c>
      <c r="C136" s="52">
        <v>222</v>
      </c>
      <c r="D136" s="3">
        <f t="shared" si="7"/>
        <v>0</v>
      </c>
      <c r="E136" s="1"/>
      <c r="F136" s="1"/>
      <c r="G136" s="3">
        <f>H136+I136</f>
        <v>0</v>
      </c>
      <c r="H136" s="1"/>
      <c r="I136" s="1"/>
      <c r="J136" s="34"/>
      <c r="K136" s="34"/>
      <c r="L136" s="34"/>
    </row>
    <row r="137" spans="1:12" ht="18" x14ac:dyDescent="0.3">
      <c r="A137" s="48" t="s">
        <v>17</v>
      </c>
      <c r="B137" s="52" t="s">
        <v>5</v>
      </c>
      <c r="C137" s="52">
        <v>223</v>
      </c>
      <c r="D137" s="3">
        <f t="shared" si="7"/>
        <v>0</v>
      </c>
      <c r="E137" s="1">
        <f>E139+E140+E141+E142+E143</f>
        <v>0</v>
      </c>
      <c r="F137" s="1">
        <f>F139+F140+F141+F142+F143</f>
        <v>0</v>
      </c>
      <c r="G137" s="3">
        <f>H137+I137</f>
        <v>0</v>
      </c>
      <c r="H137" s="1">
        <f>H139+H140+H141+H142+H143</f>
        <v>0</v>
      </c>
      <c r="I137" s="1">
        <f>I139+I140+I141+I142+I143</f>
        <v>0</v>
      </c>
      <c r="J137" s="34"/>
      <c r="K137" s="34"/>
      <c r="L137" s="34"/>
    </row>
    <row r="138" spans="1:12" ht="18" x14ac:dyDescent="0.3">
      <c r="A138" s="48" t="s">
        <v>6</v>
      </c>
      <c r="B138" s="52"/>
      <c r="C138" s="52"/>
      <c r="D138" s="3"/>
      <c r="E138" s="1"/>
      <c r="F138" s="1"/>
      <c r="G138" s="3"/>
      <c r="H138" s="1"/>
      <c r="I138" s="1"/>
      <c r="J138" s="34"/>
      <c r="K138" s="34"/>
      <c r="L138" s="34"/>
    </row>
    <row r="139" spans="1:12" ht="36" x14ac:dyDescent="0.3">
      <c r="A139" s="48" t="s">
        <v>18</v>
      </c>
      <c r="B139" s="52">
        <v>244</v>
      </c>
      <c r="C139" s="52">
        <v>223</v>
      </c>
      <c r="D139" s="3">
        <f t="shared" si="7"/>
        <v>0</v>
      </c>
      <c r="E139" s="1"/>
      <c r="F139" s="1"/>
      <c r="G139" s="3">
        <f t="shared" ref="G139:G144" si="8">H139+I139</f>
        <v>0</v>
      </c>
      <c r="H139" s="1"/>
      <c r="I139" s="1"/>
      <c r="J139" s="34"/>
      <c r="K139" s="34"/>
      <c r="L139" s="34"/>
    </row>
    <row r="140" spans="1:12" ht="36" x14ac:dyDescent="0.3">
      <c r="A140" s="48" t="s">
        <v>19</v>
      </c>
      <c r="B140" s="52">
        <v>244</v>
      </c>
      <c r="C140" s="52">
        <v>223</v>
      </c>
      <c r="D140" s="3">
        <f t="shared" si="7"/>
        <v>0</v>
      </c>
      <c r="E140" s="1"/>
      <c r="F140" s="1"/>
      <c r="G140" s="3">
        <f t="shared" si="8"/>
        <v>0</v>
      </c>
      <c r="H140" s="1"/>
      <c r="I140" s="1"/>
      <c r="J140" s="34"/>
      <c r="K140" s="34"/>
      <c r="L140" s="34"/>
    </row>
    <row r="141" spans="1:12" ht="36" x14ac:dyDescent="0.3">
      <c r="A141" s="48" t="s">
        <v>20</v>
      </c>
      <c r="B141" s="52">
        <v>244</v>
      </c>
      <c r="C141" s="52">
        <v>223</v>
      </c>
      <c r="D141" s="3">
        <f t="shared" si="7"/>
        <v>0</v>
      </c>
      <c r="E141" s="1"/>
      <c r="F141" s="1"/>
      <c r="G141" s="3">
        <f t="shared" si="8"/>
        <v>0</v>
      </c>
      <c r="H141" s="1"/>
      <c r="I141" s="1"/>
      <c r="J141" s="34"/>
      <c r="K141" s="34"/>
      <c r="L141" s="34"/>
    </row>
    <row r="142" spans="1:12" ht="72" x14ac:dyDescent="0.3">
      <c r="A142" s="48" t="s">
        <v>21</v>
      </c>
      <c r="B142" s="52">
        <v>244</v>
      </c>
      <c r="C142" s="52">
        <v>223</v>
      </c>
      <c r="D142" s="3">
        <f t="shared" si="7"/>
        <v>0</v>
      </c>
      <c r="E142" s="1"/>
      <c r="F142" s="1"/>
      <c r="G142" s="3">
        <f t="shared" si="8"/>
        <v>0</v>
      </c>
      <c r="H142" s="1"/>
      <c r="I142" s="1"/>
      <c r="J142" s="34"/>
      <c r="K142" s="34"/>
      <c r="L142" s="34"/>
    </row>
    <row r="143" spans="1:12" ht="54" x14ac:dyDescent="0.3">
      <c r="A143" s="48" t="s">
        <v>22</v>
      </c>
      <c r="B143" s="52">
        <v>244</v>
      </c>
      <c r="C143" s="52">
        <v>223</v>
      </c>
      <c r="D143" s="3">
        <f t="shared" si="7"/>
        <v>0</v>
      </c>
      <c r="E143" s="1"/>
      <c r="F143" s="1"/>
      <c r="G143" s="3">
        <f t="shared" si="8"/>
        <v>0</v>
      </c>
      <c r="H143" s="1"/>
      <c r="I143" s="1"/>
      <c r="J143" s="34"/>
      <c r="K143" s="34"/>
      <c r="L143" s="34"/>
    </row>
    <row r="144" spans="1:12" ht="126" x14ac:dyDescent="0.3">
      <c r="A144" s="48" t="s">
        <v>23</v>
      </c>
      <c r="B144" s="52">
        <v>244</v>
      </c>
      <c r="C144" s="52">
        <v>224</v>
      </c>
      <c r="D144" s="3">
        <f t="shared" si="7"/>
        <v>0</v>
      </c>
      <c r="E144" s="1"/>
      <c r="F144" s="1"/>
      <c r="G144" s="3">
        <f t="shared" si="8"/>
        <v>0</v>
      </c>
      <c r="H144" s="1"/>
      <c r="I144" s="1"/>
      <c r="J144" s="34"/>
      <c r="K144" s="34"/>
      <c r="L144" s="34"/>
    </row>
    <row r="145" spans="1:12" ht="54" x14ac:dyDescent="0.3">
      <c r="A145" s="48" t="s">
        <v>24</v>
      </c>
      <c r="B145" s="52" t="s">
        <v>5</v>
      </c>
      <c r="C145" s="52">
        <v>225</v>
      </c>
      <c r="D145" s="1">
        <f t="shared" ref="D145:I145" si="9">D146+D147</f>
        <v>0</v>
      </c>
      <c r="E145" s="1">
        <f t="shared" si="9"/>
        <v>0</v>
      </c>
      <c r="F145" s="1">
        <f t="shared" si="9"/>
        <v>0</v>
      </c>
      <c r="G145" s="1">
        <f t="shared" si="9"/>
        <v>0</v>
      </c>
      <c r="H145" s="1">
        <f t="shared" si="9"/>
        <v>0</v>
      </c>
      <c r="I145" s="1">
        <f t="shared" si="9"/>
        <v>0</v>
      </c>
      <c r="J145" s="34"/>
      <c r="K145" s="34"/>
      <c r="L145" s="34"/>
    </row>
    <row r="146" spans="1:12" ht="18" x14ac:dyDescent="0.3">
      <c r="A146" s="385" t="s">
        <v>6</v>
      </c>
      <c r="B146" s="52">
        <v>243</v>
      </c>
      <c r="C146" s="52">
        <v>225</v>
      </c>
      <c r="D146" s="3">
        <f t="shared" si="7"/>
        <v>0</v>
      </c>
      <c r="E146" s="1"/>
      <c r="F146" s="1"/>
      <c r="G146" s="3">
        <f t="shared" ref="G146:G156" si="10">H146+I146</f>
        <v>0</v>
      </c>
      <c r="H146" s="1"/>
      <c r="I146" s="1"/>
      <c r="J146" s="34"/>
      <c r="K146" s="34"/>
      <c r="L146" s="34"/>
    </row>
    <row r="147" spans="1:12" ht="18" x14ac:dyDescent="0.3">
      <c r="A147" s="385"/>
      <c r="B147" s="52">
        <v>244</v>
      </c>
      <c r="C147" s="52">
        <v>225</v>
      </c>
      <c r="D147" s="3">
        <f t="shared" si="7"/>
        <v>0</v>
      </c>
      <c r="E147" s="1"/>
      <c r="F147" s="1"/>
      <c r="G147" s="3">
        <f t="shared" si="10"/>
        <v>0</v>
      </c>
      <c r="H147" s="1"/>
      <c r="I147" s="1"/>
      <c r="J147" s="34"/>
      <c r="K147" s="34"/>
      <c r="L147" s="34"/>
    </row>
    <row r="148" spans="1:12" ht="18" x14ac:dyDescent="0.3">
      <c r="A148" s="48" t="s">
        <v>58</v>
      </c>
      <c r="B148" s="52" t="s">
        <v>5</v>
      </c>
      <c r="C148" s="52">
        <v>226</v>
      </c>
      <c r="D148" s="3">
        <f t="shared" si="7"/>
        <v>0</v>
      </c>
      <c r="E148" s="1">
        <f>E149+E150</f>
        <v>0</v>
      </c>
      <c r="F148" s="1">
        <f>F149+F150</f>
        <v>0</v>
      </c>
      <c r="G148" s="3">
        <f t="shared" si="10"/>
        <v>0</v>
      </c>
      <c r="H148" s="1">
        <f>H149+H150</f>
        <v>0</v>
      </c>
      <c r="I148" s="1">
        <f>I149+I150</f>
        <v>0</v>
      </c>
      <c r="J148" s="34"/>
      <c r="K148" s="34"/>
      <c r="L148" s="34"/>
    </row>
    <row r="149" spans="1:12" ht="18" x14ac:dyDescent="0.3">
      <c r="A149" s="385" t="s">
        <v>6</v>
      </c>
      <c r="B149" s="52">
        <v>243</v>
      </c>
      <c r="C149" s="52">
        <v>226</v>
      </c>
      <c r="D149" s="3">
        <f t="shared" si="7"/>
        <v>0</v>
      </c>
      <c r="E149" s="1"/>
      <c r="F149" s="1"/>
      <c r="G149" s="3">
        <f t="shared" si="10"/>
        <v>0</v>
      </c>
      <c r="H149" s="1"/>
      <c r="I149" s="1"/>
      <c r="J149" s="34"/>
      <c r="K149" s="34"/>
      <c r="L149" s="34"/>
    </row>
    <row r="150" spans="1:12" ht="18" x14ac:dyDescent="0.3">
      <c r="A150" s="385"/>
      <c r="B150" s="52">
        <v>244</v>
      </c>
      <c r="C150" s="52">
        <v>226</v>
      </c>
      <c r="D150" s="3">
        <f t="shared" si="7"/>
        <v>0</v>
      </c>
      <c r="E150" s="1"/>
      <c r="F150" s="1"/>
      <c r="G150" s="3">
        <f t="shared" si="10"/>
        <v>0</v>
      </c>
      <c r="H150" s="1"/>
      <c r="I150" s="1"/>
      <c r="J150" s="34"/>
      <c r="K150" s="34"/>
      <c r="L150" s="34"/>
    </row>
    <row r="151" spans="1:12" ht="18" x14ac:dyDescent="0.3">
      <c r="A151" s="48" t="s">
        <v>25</v>
      </c>
      <c r="B151" s="52">
        <v>244</v>
      </c>
      <c r="C151" s="52">
        <v>227</v>
      </c>
      <c r="D151" s="3">
        <f t="shared" si="7"/>
        <v>0</v>
      </c>
      <c r="E151" s="1"/>
      <c r="F151" s="1"/>
      <c r="G151" s="3">
        <f t="shared" si="10"/>
        <v>0</v>
      </c>
      <c r="H151" s="1"/>
      <c r="I151" s="1"/>
      <c r="J151" s="34"/>
      <c r="K151" s="34"/>
      <c r="L151" s="34"/>
    </row>
    <row r="152" spans="1:12" ht="18" x14ac:dyDescent="0.3">
      <c r="A152" s="48" t="s">
        <v>30</v>
      </c>
      <c r="B152" s="52" t="s">
        <v>5</v>
      </c>
      <c r="C152" s="52">
        <v>290</v>
      </c>
      <c r="D152" s="3">
        <f t="shared" si="7"/>
        <v>0</v>
      </c>
      <c r="E152" s="1">
        <f>E154+E155</f>
        <v>0</v>
      </c>
      <c r="F152" s="1">
        <f>F154+F155</f>
        <v>0</v>
      </c>
      <c r="G152" s="3">
        <f t="shared" si="10"/>
        <v>0</v>
      </c>
      <c r="H152" s="1">
        <f>H154+H155</f>
        <v>0</v>
      </c>
      <c r="I152" s="1">
        <f>I154+I155</f>
        <v>0</v>
      </c>
      <c r="J152" s="34"/>
      <c r="K152" s="34"/>
      <c r="L152" s="34"/>
    </row>
    <row r="153" spans="1:12" ht="18" x14ac:dyDescent="0.3">
      <c r="A153" s="48" t="s">
        <v>9</v>
      </c>
      <c r="B153" s="52"/>
      <c r="C153" s="52"/>
      <c r="D153" s="3">
        <f t="shared" si="7"/>
        <v>0</v>
      </c>
      <c r="E153" s="1"/>
      <c r="F153" s="1"/>
      <c r="G153" s="3">
        <f t="shared" si="10"/>
        <v>0</v>
      </c>
      <c r="H153" s="1"/>
      <c r="I153" s="1"/>
      <c r="J153" s="34"/>
      <c r="K153" s="34"/>
      <c r="L153" s="34"/>
    </row>
    <row r="154" spans="1:12" ht="54" x14ac:dyDescent="0.3">
      <c r="A154" s="48" t="s">
        <v>34</v>
      </c>
      <c r="B154" s="52">
        <v>244</v>
      </c>
      <c r="C154" s="52">
        <v>296</v>
      </c>
      <c r="D154" s="3">
        <f t="shared" si="7"/>
        <v>0</v>
      </c>
      <c r="E154" s="1"/>
      <c r="F154" s="1"/>
      <c r="G154" s="3">
        <f t="shared" si="10"/>
        <v>0</v>
      </c>
      <c r="H154" s="1"/>
      <c r="I154" s="1"/>
      <c r="J154" s="34"/>
      <c r="K154" s="34"/>
      <c r="L154" s="34"/>
    </row>
    <row r="155" spans="1:12" ht="54" x14ac:dyDescent="0.3">
      <c r="A155" s="48" t="s">
        <v>35</v>
      </c>
      <c r="B155" s="52">
        <v>244</v>
      </c>
      <c r="C155" s="52">
        <v>297</v>
      </c>
      <c r="D155" s="3">
        <f t="shared" si="7"/>
        <v>0</v>
      </c>
      <c r="E155" s="1"/>
      <c r="F155" s="1"/>
      <c r="G155" s="3">
        <f t="shared" si="10"/>
        <v>0</v>
      </c>
      <c r="H155" s="1"/>
      <c r="I155" s="1"/>
      <c r="J155" s="34"/>
      <c r="K155" s="34"/>
      <c r="L155" s="34"/>
    </row>
    <row r="156" spans="1:12" ht="54" x14ac:dyDescent="0.3">
      <c r="A156" s="48" t="s">
        <v>59</v>
      </c>
      <c r="B156" s="52" t="s">
        <v>5</v>
      </c>
      <c r="C156" s="52">
        <v>300</v>
      </c>
      <c r="D156" s="3">
        <f t="shared" si="7"/>
        <v>0</v>
      </c>
      <c r="E156" s="1">
        <f>E158+E160+E159</f>
        <v>0</v>
      </c>
      <c r="F156" s="1">
        <f>F158+F160+F159</f>
        <v>0</v>
      </c>
      <c r="G156" s="3">
        <f t="shared" si="10"/>
        <v>0</v>
      </c>
      <c r="H156" s="1">
        <f>H158+H160+H159</f>
        <v>0</v>
      </c>
      <c r="I156" s="1">
        <f>I158+I160+I159</f>
        <v>0</v>
      </c>
      <c r="J156" s="34"/>
      <c r="K156" s="34"/>
      <c r="L156" s="34"/>
    </row>
    <row r="157" spans="1:12" ht="18" x14ac:dyDescent="0.3">
      <c r="A157" s="48" t="s">
        <v>9</v>
      </c>
      <c r="B157" s="52"/>
      <c r="C157" s="52"/>
      <c r="D157" s="3"/>
      <c r="E157" s="1"/>
      <c r="F157" s="1"/>
      <c r="G157" s="3"/>
      <c r="H157" s="1"/>
      <c r="I157" s="1"/>
      <c r="J157" s="34"/>
      <c r="K157" s="34"/>
      <c r="L157" s="34"/>
    </row>
    <row r="158" spans="1:12" ht="36" x14ac:dyDescent="0.3">
      <c r="A158" s="48" t="s">
        <v>36</v>
      </c>
      <c r="B158" s="52">
        <v>244</v>
      </c>
      <c r="C158" s="52">
        <v>310</v>
      </c>
      <c r="D158" s="3">
        <f t="shared" si="7"/>
        <v>0</v>
      </c>
      <c r="E158" s="1"/>
      <c r="F158" s="1"/>
      <c r="G158" s="3">
        <f>H158+I158</f>
        <v>0</v>
      </c>
      <c r="H158" s="1"/>
      <c r="I158" s="1"/>
      <c r="J158" s="34"/>
      <c r="K158" s="34"/>
      <c r="L158" s="34"/>
    </row>
    <row r="159" spans="1:12" ht="54" x14ac:dyDescent="0.3">
      <c r="A159" s="48" t="s">
        <v>68</v>
      </c>
      <c r="B159" s="52">
        <v>244</v>
      </c>
      <c r="C159" s="52">
        <v>320</v>
      </c>
      <c r="D159" s="3">
        <f t="shared" si="7"/>
        <v>0</v>
      </c>
      <c r="E159" s="1"/>
      <c r="F159" s="1"/>
      <c r="G159" s="3">
        <f>H159+I159</f>
        <v>0</v>
      </c>
      <c r="H159" s="1"/>
      <c r="I159" s="1"/>
      <c r="J159" s="34"/>
      <c r="K159" s="34"/>
      <c r="L159" s="34"/>
    </row>
    <row r="160" spans="1:12" ht="54" x14ac:dyDescent="0.3">
      <c r="A160" s="48" t="s">
        <v>60</v>
      </c>
      <c r="B160" s="52" t="s">
        <v>5</v>
      </c>
      <c r="C160" s="52">
        <v>340</v>
      </c>
      <c r="D160" s="3">
        <f t="shared" si="7"/>
        <v>0</v>
      </c>
      <c r="E160" s="1">
        <f>E162+E163+E164+E165+E166+E167+E168</f>
        <v>0</v>
      </c>
      <c r="F160" s="1">
        <f>F162+F163+F164+F165+F166+F167+F168</f>
        <v>0</v>
      </c>
      <c r="G160" s="3">
        <f>H160+I160</f>
        <v>0</v>
      </c>
      <c r="H160" s="1">
        <f>H162+H163+H164+H165+H166+H167+H168</f>
        <v>0</v>
      </c>
      <c r="I160" s="1">
        <f>I162+I163+I164+I165+I166+I167+I168</f>
        <v>0</v>
      </c>
      <c r="J160" s="34"/>
      <c r="K160" s="34"/>
      <c r="L160" s="34"/>
    </row>
    <row r="161" spans="1:12" ht="18" x14ac:dyDescent="0.3">
      <c r="A161" s="48" t="s">
        <v>6</v>
      </c>
      <c r="B161" s="52"/>
      <c r="C161" s="52"/>
      <c r="D161" s="3"/>
      <c r="E161" s="1"/>
      <c r="F161" s="1"/>
      <c r="G161" s="3"/>
      <c r="H161" s="1"/>
      <c r="I161" s="1"/>
      <c r="J161" s="34"/>
      <c r="K161" s="34"/>
      <c r="L161" s="34"/>
    </row>
    <row r="162" spans="1:12" ht="108" x14ac:dyDescent="0.3">
      <c r="A162" s="48" t="s">
        <v>37</v>
      </c>
      <c r="B162" s="52">
        <v>244</v>
      </c>
      <c r="C162" s="52">
        <v>341</v>
      </c>
      <c r="D162" s="3">
        <f t="shared" ref="D162:D168" si="11">E162+F162</f>
        <v>0</v>
      </c>
      <c r="E162" s="1"/>
      <c r="F162" s="1"/>
      <c r="G162" s="3">
        <f t="shared" ref="G162:G168" si="12">H162+I162</f>
        <v>0</v>
      </c>
      <c r="H162" s="1"/>
      <c r="I162" s="1"/>
      <c r="J162" s="34"/>
      <c r="K162" s="34"/>
      <c r="L162" s="34"/>
    </row>
    <row r="163" spans="1:12" ht="36" x14ac:dyDescent="0.3">
      <c r="A163" s="48" t="s">
        <v>38</v>
      </c>
      <c r="B163" s="52">
        <v>244</v>
      </c>
      <c r="C163" s="52">
        <v>342</v>
      </c>
      <c r="D163" s="3">
        <f t="shared" si="11"/>
        <v>0</v>
      </c>
      <c r="E163" s="1"/>
      <c r="F163" s="1"/>
      <c r="G163" s="3">
        <f t="shared" si="12"/>
        <v>0</v>
      </c>
      <c r="H163" s="1"/>
      <c r="I163" s="1"/>
      <c r="J163" s="34"/>
      <c r="K163" s="34"/>
      <c r="L163" s="34"/>
    </row>
    <row r="164" spans="1:12" ht="54" x14ac:dyDescent="0.3">
      <c r="A164" s="48" t="s">
        <v>39</v>
      </c>
      <c r="B164" s="52">
        <v>244</v>
      </c>
      <c r="C164" s="52">
        <v>343</v>
      </c>
      <c r="D164" s="3">
        <f t="shared" si="11"/>
        <v>0</v>
      </c>
      <c r="E164" s="1"/>
      <c r="F164" s="1"/>
      <c r="G164" s="3">
        <f t="shared" si="12"/>
        <v>0</v>
      </c>
      <c r="H164" s="1"/>
      <c r="I164" s="1"/>
      <c r="J164" s="34"/>
      <c r="K164" s="34"/>
      <c r="L164" s="34"/>
    </row>
    <row r="165" spans="1:12" ht="54" x14ac:dyDescent="0.3">
      <c r="A165" s="48" t="s">
        <v>40</v>
      </c>
      <c r="B165" s="52">
        <v>244</v>
      </c>
      <c r="C165" s="52">
        <v>344</v>
      </c>
      <c r="D165" s="3">
        <f t="shared" si="11"/>
        <v>0</v>
      </c>
      <c r="E165" s="1"/>
      <c r="F165" s="1"/>
      <c r="G165" s="3">
        <f t="shared" si="12"/>
        <v>0</v>
      </c>
      <c r="H165" s="1"/>
      <c r="I165" s="1"/>
      <c r="J165" s="34"/>
      <c r="K165" s="34"/>
      <c r="L165" s="34"/>
    </row>
    <row r="166" spans="1:12" ht="36" x14ac:dyDescent="0.3">
      <c r="A166" s="48" t="s">
        <v>41</v>
      </c>
      <c r="B166" s="52">
        <v>244</v>
      </c>
      <c r="C166" s="52">
        <v>345</v>
      </c>
      <c r="D166" s="3">
        <f t="shared" si="11"/>
        <v>0</v>
      </c>
      <c r="E166" s="1"/>
      <c r="F166" s="1"/>
      <c r="G166" s="3">
        <f t="shared" si="12"/>
        <v>0</v>
      </c>
      <c r="H166" s="1"/>
      <c r="I166" s="1"/>
      <c r="J166" s="34"/>
      <c r="K166" s="34"/>
      <c r="L166" s="34"/>
    </row>
    <row r="167" spans="1:12" ht="54" x14ac:dyDescent="0.3">
      <c r="A167" s="48" t="s">
        <v>42</v>
      </c>
      <c r="B167" s="52">
        <v>244</v>
      </c>
      <c r="C167" s="52">
        <v>346</v>
      </c>
      <c r="D167" s="3">
        <f t="shared" si="11"/>
        <v>0</v>
      </c>
      <c r="E167" s="1"/>
      <c r="F167" s="1"/>
      <c r="G167" s="3">
        <f t="shared" si="12"/>
        <v>0</v>
      </c>
      <c r="H167" s="1"/>
      <c r="I167" s="1"/>
      <c r="J167" s="34"/>
      <c r="K167" s="34"/>
      <c r="L167" s="34"/>
    </row>
    <row r="168" spans="1:12" ht="72" x14ac:dyDescent="0.3">
      <c r="A168" s="48" t="s">
        <v>43</v>
      </c>
      <c r="B168" s="52">
        <v>244</v>
      </c>
      <c r="C168" s="52">
        <v>349</v>
      </c>
      <c r="D168" s="3">
        <f t="shared" si="11"/>
        <v>0</v>
      </c>
      <c r="E168" s="1"/>
      <c r="F168" s="1"/>
      <c r="G168" s="3">
        <f t="shared" si="12"/>
        <v>0</v>
      </c>
      <c r="H168" s="1"/>
      <c r="I168" s="1"/>
      <c r="J168" s="34"/>
      <c r="K168" s="34"/>
      <c r="L168" s="34"/>
    </row>
    <row r="169" spans="1:12" ht="17.399999999999999" customHeight="1" x14ac:dyDescent="0.3">
      <c r="A169" s="565" t="s">
        <v>201</v>
      </c>
      <c r="B169" s="566"/>
      <c r="C169" s="566"/>
      <c r="D169" s="566"/>
      <c r="E169" s="566"/>
      <c r="F169" s="566"/>
      <c r="G169" s="566"/>
      <c r="H169" s="566"/>
      <c r="I169" s="566"/>
      <c r="J169" s="70"/>
      <c r="K169" s="70"/>
      <c r="L169" s="70"/>
    </row>
    <row r="170" spans="1:12" ht="18" x14ac:dyDescent="0.3">
      <c r="A170" s="48" t="s">
        <v>8</v>
      </c>
      <c r="B170" s="52" t="s">
        <v>5</v>
      </c>
      <c r="C170" s="52">
        <v>200</v>
      </c>
      <c r="D170" s="3">
        <f>E170+F170</f>
        <v>7721057</v>
      </c>
      <c r="E170" s="1">
        <f>E172+E175+E194</f>
        <v>7721057</v>
      </c>
      <c r="F170" s="1">
        <f>F172+F175+F194</f>
        <v>0</v>
      </c>
      <c r="G170" s="3">
        <f>H170+I170</f>
        <v>7721057</v>
      </c>
      <c r="H170" s="1">
        <f>H172+H175+H194</f>
        <v>7721057</v>
      </c>
      <c r="I170" s="1">
        <f>I172+I175+I194</f>
        <v>0</v>
      </c>
      <c r="J170" s="34"/>
      <c r="K170" s="34"/>
      <c r="L170" s="34"/>
    </row>
    <row r="171" spans="1:12" ht="18" x14ac:dyDescent="0.3">
      <c r="A171" s="48" t="s">
        <v>9</v>
      </c>
      <c r="B171" s="52"/>
      <c r="C171" s="52"/>
      <c r="D171" s="3"/>
      <c r="E171" s="1"/>
      <c r="F171" s="1"/>
      <c r="G171" s="3"/>
      <c r="H171" s="1"/>
      <c r="I171" s="1"/>
      <c r="J171" s="34"/>
      <c r="K171" s="34"/>
      <c r="L171" s="34"/>
    </row>
    <row r="172" spans="1:12" ht="72" x14ac:dyDescent="0.3">
      <c r="A172" s="48" t="s">
        <v>10</v>
      </c>
      <c r="B172" s="52" t="s">
        <v>5</v>
      </c>
      <c r="C172" s="52">
        <v>210</v>
      </c>
      <c r="D172" s="3">
        <f>E172+F172</f>
        <v>0</v>
      </c>
      <c r="E172" s="1">
        <f>E174</f>
        <v>0</v>
      </c>
      <c r="F172" s="1">
        <f>F174</f>
        <v>0</v>
      </c>
      <c r="G172" s="3">
        <f>H172+I172</f>
        <v>0</v>
      </c>
      <c r="H172" s="1">
        <f>H174</f>
        <v>0</v>
      </c>
      <c r="I172" s="1">
        <f>I174</f>
        <v>0</v>
      </c>
      <c r="J172" s="34"/>
      <c r="K172" s="34"/>
      <c r="L172" s="34"/>
    </row>
    <row r="173" spans="1:12" ht="18" x14ac:dyDescent="0.3">
      <c r="A173" s="48" t="s">
        <v>9</v>
      </c>
      <c r="B173" s="52"/>
      <c r="C173" s="52"/>
      <c r="D173" s="3"/>
      <c r="E173" s="1"/>
      <c r="F173" s="1"/>
      <c r="G173" s="3"/>
      <c r="H173" s="1"/>
      <c r="I173" s="1"/>
      <c r="J173" s="34"/>
      <c r="K173" s="34"/>
      <c r="L173" s="34"/>
    </row>
    <row r="174" spans="1:12" ht="54" x14ac:dyDescent="0.3">
      <c r="A174" s="48" t="s">
        <v>200</v>
      </c>
      <c r="B174" s="52">
        <v>244</v>
      </c>
      <c r="C174" s="52">
        <v>214</v>
      </c>
      <c r="D174" s="3">
        <f>E174+F174</f>
        <v>0</v>
      </c>
      <c r="E174" s="64">
        <f>E36-E132</f>
        <v>0</v>
      </c>
      <c r="F174" s="1"/>
      <c r="G174" s="3">
        <f>H174+I174</f>
        <v>0</v>
      </c>
      <c r="H174" s="64">
        <f>H36-H132</f>
        <v>0</v>
      </c>
      <c r="I174" s="1"/>
      <c r="J174" s="34"/>
      <c r="K174" s="34"/>
      <c r="L174" s="34"/>
    </row>
    <row r="175" spans="1:12" ht="36" x14ac:dyDescent="0.3">
      <c r="A175" s="48" t="s">
        <v>14</v>
      </c>
      <c r="B175" s="52" t="s">
        <v>5</v>
      </c>
      <c r="C175" s="52">
        <v>220</v>
      </c>
      <c r="D175" s="3">
        <f>E175+F175</f>
        <v>7721057</v>
      </c>
      <c r="E175" s="1">
        <f>E177+E178+E179+E186+E187+E190+E193</f>
        <v>7721057</v>
      </c>
      <c r="F175" s="1">
        <f>F177+F178+F179+F186+F187+F190+F193</f>
        <v>0</v>
      </c>
      <c r="G175" s="3">
        <f>H175+I175</f>
        <v>7721057</v>
      </c>
      <c r="H175" s="1">
        <f>H177+H178+H179+H186+H187+H190+H193</f>
        <v>7721057</v>
      </c>
      <c r="I175" s="1">
        <f>I177+I178+I179+I186+I187+I190+I193</f>
        <v>0</v>
      </c>
      <c r="J175" s="34"/>
      <c r="K175" s="34"/>
      <c r="L175" s="34"/>
    </row>
    <row r="176" spans="1:12" ht="18" x14ac:dyDescent="0.3">
      <c r="A176" s="48" t="s">
        <v>9</v>
      </c>
      <c r="B176" s="52"/>
      <c r="C176" s="52"/>
      <c r="D176" s="3"/>
      <c r="E176" s="1"/>
      <c r="F176" s="1"/>
      <c r="G176" s="3"/>
      <c r="H176" s="1"/>
      <c r="I176" s="1"/>
      <c r="J176" s="34"/>
      <c r="K176" s="34"/>
      <c r="L176" s="34"/>
    </row>
    <row r="177" spans="1:12" ht="18" x14ac:dyDescent="0.3">
      <c r="A177" s="48" t="s">
        <v>15</v>
      </c>
      <c r="B177" s="52">
        <v>244</v>
      </c>
      <c r="C177" s="52">
        <v>221</v>
      </c>
      <c r="D177" s="3">
        <f>E177+F177</f>
        <v>290000</v>
      </c>
      <c r="E177" s="1">
        <f>E39-E135</f>
        <v>290000</v>
      </c>
      <c r="F177" s="1"/>
      <c r="G177" s="3">
        <f>H177+I177</f>
        <v>290000</v>
      </c>
      <c r="H177" s="1">
        <f>H39-H135</f>
        <v>290000</v>
      </c>
      <c r="I177" s="1"/>
      <c r="J177" s="34"/>
      <c r="K177" s="34"/>
      <c r="L177" s="34"/>
    </row>
    <row r="178" spans="1:12" ht="36" x14ac:dyDescent="0.3">
      <c r="A178" s="48" t="s">
        <v>16</v>
      </c>
      <c r="B178" s="52">
        <v>244</v>
      </c>
      <c r="C178" s="52">
        <v>222</v>
      </c>
      <c r="D178" s="3">
        <f>E178+F178</f>
        <v>400000</v>
      </c>
      <c r="E178" s="64">
        <f>E42-E136</f>
        <v>400000</v>
      </c>
      <c r="F178" s="1"/>
      <c r="G178" s="3">
        <f>H178+I178</f>
        <v>400000</v>
      </c>
      <c r="H178" s="64">
        <f>H42-H136</f>
        <v>400000</v>
      </c>
      <c r="I178" s="1"/>
      <c r="J178" s="34"/>
      <c r="K178" s="34"/>
      <c r="L178" s="34"/>
    </row>
    <row r="179" spans="1:12" ht="18" x14ac:dyDescent="0.3">
      <c r="A179" s="48" t="s">
        <v>17</v>
      </c>
      <c r="B179" s="52" t="s">
        <v>5</v>
      </c>
      <c r="C179" s="52">
        <v>223</v>
      </c>
      <c r="D179" s="3">
        <f>E179+F179</f>
        <v>400000</v>
      </c>
      <c r="E179" s="1">
        <f>E181+E182+E183+E184+E185</f>
        <v>400000</v>
      </c>
      <c r="F179" s="1">
        <f>F181+F182+F183+F184+F185</f>
        <v>0</v>
      </c>
      <c r="G179" s="3">
        <f>H179+I179</f>
        <v>400000</v>
      </c>
      <c r="H179" s="1">
        <f>H181+H182+H183+H184+H185</f>
        <v>400000</v>
      </c>
      <c r="I179" s="1">
        <f>I181+I182+I183+I184+I185</f>
        <v>0</v>
      </c>
      <c r="J179" s="34"/>
      <c r="K179" s="34"/>
      <c r="L179" s="34"/>
    </row>
    <row r="180" spans="1:12" ht="18" x14ac:dyDescent="0.3">
      <c r="A180" s="48" t="s">
        <v>6</v>
      </c>
      <c r="B180" s="52"/>
      <c r="C180" s="52"/>
      <c r="D180" s="3"/>
      <c r="E180" s="1"/>
      <c r="F180" s="1"/>
      <c r="G180" s="3"/>
      <c r="H180" s="1"/>
      <c r="I180" s="1"/>
      <c r="J180" s="34"/>
      <c r="K180" s="34"/>
      <c r="L180" s="34"/>
    </row>
    <row r="181" spans="1:12" ht="36" x14ac:dyDescent="0.3">
      <c r="A181" s="48" t="s">
        <v>18</v>
      </c>
      <c r="B181" s="52">
        <v>244</v>
      </c>
      <c r="C181" s="52">
        <v>223</v>
      </c>
      <c r="D181" s="3">
        <f t="shared" ref="D181:D186" si="13">E181+F181</f>
        <v>100000</v>
      </c>
      <c r="E181" s="1">
        <f t="shared" ref="E181:E186" si="14">E48-E139</f>
        <v>100000</v>
      </c>
      <c r="F181" s="1"/>
      <c r="G181" s="3">
        <f t="shared" ref="G181:G186" si="15">H181+I181</f>
        <v>100000</v>
      </c>
      <c r="H181" s="1">
        <f t="shared" ref="H181:H186" si="16">H48-H139</f>
        <v>100000</v>
      </c>
      <c r="I181" s="1"/>
      <c r="J181" s="34"/>
      <c r="K181" s="34"/>
      <c r="L181" s="34"/>
    </row>
    <row r="182" spans="1:12" ht="36" x14ac:dyDescent="0.3">
      <c r="A182" s="48" t="s">
        <v>19</v>
      </c>
      <c r="B182" s="52">
        <v>244</v>
      </c>
      <c r="C182" s="52">
        <v>223</v>
      </c>
      <c r="D182" s="3">
        <f t="shared" si="13"/>
        <v>0</v>
      </c>
      <c r="E182" s="1">
        <f t="shared" si="14"/>
        <v>0</v>
      </c>
      <c r="F182" s="1"/>
      <c r="G182" s="3">
        <f t="shared" si="15"/>
        <v>0</v>
      </c>
      <c r="H182" s="1">
        <f t="shared" si="16"/>
        <v>0</v>
      </c>
      <c r="I182" s="1"/>
      <c r="J182" s="34"/>
      <c r="K182" s="34"/>
      <c r="L182" s="34"/>
    </row>
    <row r="183" spans="1:12" ht="36" x14ac:dyDescent="0.3">
      <c r="A183" s="48" t="s">
        <v>20</v>
      </c>
      <c r="B183" s="52">
        <v>244</v>
      </c>
      <c r="C183" s="52">
        <v>223</v>
      </c>
      <c r="D183" s="3">
        <f t="shared" si="13"/>
        <v>100000</v>
      </c>
      <c r="E183" s="1">
        <f t="shared" si="14"/>
        <v>100000</v>
      </c>
      <c r="F183" s="1"/>
      <c r="G183" s="3">
        <f t="shared" si="15"/>
        <v>100000</v>
      </c>
      <c r="H183" s="1">
        <f t="shared" si="16"/>
        <v>100000</v>
      </c>
      <c r="I183" s="1"/>
      <c r="J183" s="34"/>
      <c r="K183" s="34"/>
      <c r="L183" s="34"/>
    </row>
    <row r="184" spans="1:12" ht="72" x14ac:dyDescent="0.3">
      <c r="A184" s="48" t="s">
        <v>21</v>
      </c>
      <c r="B184" s="52">
        <v>244</v>
      </c>
      <c r="C184" s="52">
        <v>223</v>
      </c>
      <c r="D184" s="3">
        <f t="shared" si="13"/>
        <v>100000</v>
      </c>
      <c r="E184" s="1">
        <f t="shared" si="14"/>
        <v>100000</v>
      </c>
      <c r="F184" s="1"/>
      <c r="G184" s="3">
        <f t="shared" si="15"/>
        <v>100000</v>
      </c>
      <c r="H184" s="1">
        <f t="shared" si="16"/>
        <v>100000</v>
      </c>
      <c r="I184" s="1"/>
      <c r="J184" s="34"/>
      <c r="K184" s="34"/>
      <c r="L184" s="34"/>
    </row>
    <row r="185" spans="1:12" ht="54" x14ac:dyDescent="0.3">
      <c r="A185" s="48" t="s">
        <v>22</v>
      </c>
      <c r="B185" s="52">
        <v>244</v>
      </c>
      <c r="C185" s="52">
        <v>223</v>
      </c>
      <c r="D185" s="3">
        <f t="shared" si="13"/>
        <v>100000</v>
      </c>
      <c r="E185" s="1">
        <f t="shared" si="14"/>
        <v>100000</v>
      </c>
      <c r="F185" s="1"/>
      <c r="G185" s="3">
        <f t="shared" si="15"/>
        <v>100000</v>
      </c>
      <c r="H185" s="1">
        <f t="shared" si="16"/>
        <v>100000</v>
      </c>
      <c r="I185" s="1"/>
      <c r="J185" s="34"/>
      <c r="K185" s="34"/>
      <c r="L185" s="34"/>
    </row>
    <row r="186" spans="1:12" ht="126" x14ac:dyDescent="0.3">
      <c r="A186" s="48" t="s">
        <v>23</v>
      </c>
      <c r="B186" s="52">
        <v>244</v>
      </c>
      <c r="C186" s="52">
        <v>224</v>
      </c>
      <c r="D186" s="3">
        <f t="shared" si="13"/>
        <v>0</v>
      </c>
      <c r="E186" s="1">
        <f t="shared" si="14"/>
        <v>0</v>
      </c>
      <c r="F186" s="1"/>
      <c r="G186" s="3">
        <f t="shared" si="15"/>
        <v>0</v>
      </c>
      <c r="H186" s="1">
        <f t="shared" si="16"/>
        <v>0</v>
      </c>
      <c r="I186" s="1"/>
      <c r="J186" s="34"/>
      <c r="K186" s="34"/>
      <c r="L186" s="34"/>
    </row>
    <row r="187" spans="1:12" ht="54" x14ac:dyDescent="0.3">
      <c r="A187" s="48" t="s">
        <v>24</v>
      </c>
      <c r="B187" s="52" t="s">
        <v>5</v>
      </c>
      <c r="C187" s="52">
        <v>225</v>
      </c>
      <c r="D187" s="1">
        <f t="shared" ref="D187:I187" si="17">D188+D189</f>
        <v>2000000</v>
      </c>
      <c r="E187" s="1">
        <f t="shared" si="17"/>
        <v>2000000</v>
      </c>
      <c r="F187" s="1">
        <f t="shared" si="17"/>
        <v>0</v>
      </c>
      <c r="G187" s="1">
        <f t="shared" si="17"/>
        <v>2000000</v>
      </c>
      <c r="H187" s="1">
        <f t="shared" si="17"/>
        <v>2000000</v>
      </c>
      <c r="I187" s="1">
        <f t="shared" si="17"/>
        <v>0</v>
      </c>
      <c r="J187" s="34"/>
      <c r="K187" s="34"/>
      <c r="L187" s="34"/>
    </row>
    <row r="188" spans="1:12" ht="18" x14ac:dyDescent="0.3">
      <c r="A188" s="385" t="s">
        <v>6</v>
      </c>
      <c r="B188" s="52">
        <v>243</v>
      </c>
      <c r="C188" s="52">
        <v>225</v>
      </c>
      <c r="D188" s="3">
        <f t="shared" ref="D188:D198" si="18">E188+F188</f>
        <v>0</v>
      </c>
      <c r="E188" s="1">
        <f>E55-E146</f>
        <v>0</v>
      </c>
      <c r="F188" s="1"/>
      <c r="G188" s="3">
        <f t="shared" ref="G188:G198" si="19">H188+I188</f>
        <v>0</v>
      </c>
      <c r="H188" s="1">
        <f>H55-H146</f>
        <v>0</v>
      </c>
      <c r="I188" s="1"/>
      <c r="J188" s="34"/>
      <c r="K188" s="34"/>
      <c r="L188" s="34"/>
    </row>
    <row r="189" spans="1:12" ht="18" x14ac:dyDescent="0.3">
      <c r="A189" s="385"/>
      <c r="B189" s="52">
        <v>244</v>
      </c>
      <c r="C189" s="52">
        <v>225</v>
      </c>
      <c r="D189" s="3">
        <f t="shared" si="18"/>
        <v>2000000</v>
      </c>
      <c r="E189" s="1">
        <f>E56-E147</f>
        <v>2000000</v>
      </c>
      <c r="F189" s="1"/>
      <c r="G189" s="3">
        <f t="shared" si="19"/>
        <v>2000000</v>
      </c>
      <c r="H189" s="1">
        <f>H56-H147</f>
        <v>2000000</v>
      </c>
      <c r="I189" s="1"/>
      <c r="J189" s="34"/>
      <c r="K189" s="34"/>
      <c r="L189" s="34"/>
    </row>
    <row r="190" spans="1:12" ht="18" x14ac:dyDescent="0.3">
      <c r="A190" s="48" t="s">
        <v>58</v>
      </c>
      <c r="B190" s="52" t="s">
        <v>5</v>
      </c>
      <c r="C190" s="52">
        <v>226</v>
      </c>
      <c r="D190" s="3">
        <f t="shared" si="18"/>
        <v>4621057</v>
      </c>
      <c r="E190" s="1">
        <f>E191+E192</f>
        <v>4621057</v>
      </c>
      <c r="F190" s="1">
        <f>F191+F192</f>
        <v>0</v>
      </c>
      <c r="G190" s="3">
        <f t="shared" si="19"/>
        <v>4621057</v>
      </c>
      <c r="H190" s="1">
        <f>H191+H192</f>
        <v>4621057</v>
      </c>
      <c r="I190" s="1">
        <f>I191+I192</f>
        <v>0</v>
      </c>
      <c r="J190" s="34"/>
      <c r="K190" s="34"/>
      <c r="L190" s="34"/>
    </row>
    <row r="191" spans="1:12" ht="18" x14ac:dyDescent="0.3">
      <c r="A191" s="385" t="s">
        <v>6</v>
      </c>
      <c r="B191" s="52">
        <v>243</v>
      </c>
      <c r="C191" s="52">
        <v>226</v>
      </c>
      <c r="D191" s="3">
        <f t="shared" si="18"/>
        <v>0</v>
      </c>
      <c r="E191" s="1">
        <f>E61-E149</f>
        <v>0</v>
      </c>
      <c r="F191" s="1"/>
      <c r="G191" s="3">
        <f t="shared" si="19"/>
        <v>0</v>
      </c>
      <c r="H191" s="1">
        <f>H61-H149</f>
        <v>0</v>
      </c>
      <c r="I191" s="1"/>
      <c r="J191" s="34"/>
      <c r="K191" s="34"/>
      <c r="L191" s="34"/>
    </row>
    <row r="192" spans="1:12" ht="18" x14ac:dyDescent="0.3">
      <c r="A192" s="385"/>
      <c r="B192" s="52">
        <v>244</v>
      </c>
      <c r="C192" s="52">
        <v>226</v>
      </c>
      <c r="D192" s="3">
        <f t="shared" si="18"/>
        <v>4621057</v>
      </c>
      <c r="E192" s="1">
        <f>E62-E150</f>
        <v>4621057</v>
      </c>
      <c r="F192" s="1"/>
      <c r="G192" s="3">
        <f t="shared" si="19"/>
        <v>4621057</v>
      </c>
      <c r="H192" s="1">
        <f>H62-H150</f>
        <v>4621057</v>
      </c>
      <c r="I192" s="1"/>
      <c r="J192" s="34"/>
      <c r="K192" s="34"/>
      <c r="L192" s="34"/>
    </row>
    <row r="193" spans="1:12" ht="18" x14ac:dyDescent="0.3">
      <c r="A193" s="48" t="s">
        <v>25</v>
      </c>
      <c r="B193" s="52">
        <v>244</v>
      </c>
      <c r="C193" s="52">
        <v>227</v>
      </c>
      <c r="D193" s="3">
        <f t="shared" si="18"/>
        <v>10000</v>
      </c>
      <c r="E193" s="1">
        <f>E63-E151</f>
        <v>10000</v>
      </c>
      <c r="F193" s="1"/>
      <c r="G193" s="3">
        <f t="shared" si="19"/>
        <v>10000</v>
      </c>
      <c r="H193" s="1">
        <f>H63-H151</f>
        <v>10000</v>
      </c>
      <c r="I193" s="1"/>
      <c r="J193" s="34"/>
      <c r="K193" s="34"/>
      <c r="L193" s="34"/>
    </row>
    <row r="194" spans="1:12" ht="18" x14ac:dyDescent="0.3">
      <c r="A194" s="48" t="s">
        <v>30</v>
      </c>
      <c r="B194" s="52" t="s">
        <v>5</v>
      </c>
      <c r="C194" s="52">
        <v>290</v>
      </c>
      <c r="D194" s="3">
        <f t="shared" si="18"/>
        <v>0</v>
      </c>
      <c r="E194" s="1">
        <f>E196+E197</f>
        <v>0</v>
      </c>
      <c r="F194" s="1">
        <f>F196+F197</f>
        <v>0</v>
      </c>
      <c r="G194" s="3">
        <f t="shared" si="19"/>
        <v>0</v>
      </c>
      <c r="H194" s="1">
        <f>H196+H197</f>
        <v>0</v>
      </c>
      <c r="I194" s="1">
        <f>I196+I197</f>
        <v>0</v>
      </c>
      <c r="J194" s="34"/>
      <c r="K194" s="34"/>
      <c r="L194" s="34"/>
    </row>
    <row r="195" spans="1:12" ht="18" x14ac:dyDescent="0.3">
      <c r="A195" s="48" t="s">
        <v>9</v>
      </c>
      <c r="B195" s="52"/>
      <c r="C195" s="52"/>
      <c r="D195" s="3">
        <f t="shared" si="18"/>
        <v>0</v>
      </c>
      <c r="E195" s="1"/>
      <c r="F195" s="1"/>
      <c r="G195" s="3">
        <f t="shared" si="19"/>
        <v>0</v>
      </c>
      <c r="H195" s="1"/>
      <c r="I195" s="1"/>
      <c r="J195" s="34"/>
      <c r="K195" s="34"/>
      <c r="L195" s="34"/>
    </row>
    <row r="196" spans="1:12" ht="54" x14ac:dyDescent="0.3">
      <c r="A196" s="48" t="s">
        <v>34</v>
      </c>
      <c r="B196" s="52">
        <v>244</v>
      </c>
      <c r="C196" s="52">
        <v>296</v>
      </c>
      <c r="D196" s="3">
        <f t="shared" si="18"/>
        <v>0</v>
      </c>
      <c r="E196" s="1">
        <f>E81-E154</f>
        <v>0</v>
      </c>
      <c r="F196" s="1"/>
      <c r="G196" s="3">
        <f t="shared" si="19"/>
        <v>0</v>
      </c>
      <c r="H196" s="1">
        <f>H81-H154</f>
        <v>0</v>
      </c>
      <c r="I196" s="1"/>
      <c r="J196" s="34"/>
      <c r="K196" s="34"/>
      <c r="L196" s="34"/>
    </row>
    <row r="197" spans="1:12" ht="54" x14ac:dyDescent="0.3">
      <c r="A197" s="48" t="s">
        <v>35</v>
      </c>
      <c r="B197" s="52">
        <v>244</v>
      </c>
      <c r="C197" s="52">
        <v>297</v>
      </c>
      <c r="D197" s="3">
        <f t="shared" si="18"/>
        <v>0</v>
      </c>
      <c r="E197" s="1">
        <f>E88-E155</f>
        <v>0</v>
      </c>
      <c r="F197" s="1"/>
      <c r="G197" s="3">
        <f t="shared" si="19"/>
        <v>0</v>
      </c>
      <c r="H197" s="1">
        <f>H88-H155</f>
        <v>0</v>
      </c>
      <c r="I197" s="1"/>
      <c r="J197" s="34"/>
      <c r="K197" s="34"/>
      <c r="L197" s="34"/>
    </row>
    <row r="198" spans="1:12" ht="54" x14ac:dyDescent="0.3">
      <c r="A198" s="48" t="s">
        <v>59</v>
      </c>
      <c r="B198" s="52" t="s">
        <v>5</v>
      </c>
      <c r="C198" s="52">
        <v>300</v>
      </c>
      <c r="D198" s="3">
        <f t="shared" si="18"/>
        <v>5040000</v>
      </c>
      <c r="E198" s="1">
        <f>E200+E202+E201</f>
        <v>5040000</v>
      </c>
      <c r="F198" s="1">
        <f>F200+F202+F201</f>
        <v>0</v>
      </c>
      <c r="G198" s="3">
        <f t="shared" si="19"/>
        <v>5040000</v>
      </c>
      <c r="H198" s="1">
        <f>H200+H202+H201</f>
        <v>5040000</v>
      </c>
      <c r="I198" s="1">
        <f>I200+I202+I201</f>
        <v>0</v>
      </c>
      <c r="J198" s="34"/>
      <c r="K198" s="34"/>
      <c r="L198" s="34"/>
    </row>
    <row r="199" spans="1:12" ht="18" x14ac:dyDescent="0.3">
      <c r="A199" s="48" t="s">
        <v>9</v>
      </c>
      <c r="B199" s="52"/>
      <c r="C199" s="52"/>
      <c r="D199" s="3"/>
      <c r="E199" s="1"/>
      <c r="F199" s="1"/>
      <c r="G199" s="3"/>
      <c r="H199" s="1"/>
      <c r="I199" s="1"/>
      <c r="J199" s="34"/>
      <c r="K199" s="34"/>
      <c r="L199" s="34"/>
    </row>
    <row r="200" spans="1:12" ht="36" x14ac:dyDescent="0.3">
      <c r="A200" s="48" t="s">
        <v>36</v>
      </c>
      <c r="B200" s="52">
        <v>244</v>
      </c>
      <c r="C200" s="52">
        <v>310</v>
      </c>
      <c r="D200" s="3">
        <f>E200+F200</f>
        <v>1500000</v>
      </c>
      <c r="E200" s="1">
        <f>E94-E158</f>
        <v>1500000</v>
      </c>
      <c r="F200" s="1"/>
      <c r="G200" s="3">
        <f>H200+I200</f>
        <v>1500000</v>
      </c>
      <c r="H200" s="1">
        <f>H94-H158</f>
        <v>1500000</v>
      </c>
      <c r="I200" s="1"/>
      <c r="J200" s="34"/>
      <c r="K200" s="34"/>
      <c r="L200" s="34"/>
    </row>
    <row r="201" spans="1:12" ht="54" x14ac:dyDescent="0.3">
      <c r="A201" s="48" t="s">
        <v>68</v>
      </c>
      <c r="B201" s="52">
        <v>244</v>
      </c>
      <c r="C201" s="52">
        <v>320</v>
      </c>
      <c r="D201" s="3">
        <f>E201+F201</f>
        <v>0</v>
      </c>
      <c r="E201" s="1">
        <f>E95-E159</f>
        <v>0</v>
      </c>
      <c r="F201" s="1"/>
      <c r="G201" s="3">
        <f>H201+I201</f>
        <v>0</v>
      </c>
      <c r="H201" s="1">
        <f>H95-H159</f>
        <v>0</v>
      </c>
      <c r="I201" s="1"/>
      <c r="J201" s="34"/>
      <c r="K201" s="34"/>
      <c r="L201" s="34"/>
    </row>
    <row r="202" spans="1:12" ht="54" x14ac:dyDescent="0.3">
      <c r="A202" s="48" t="s">
        <v>60</v>
      </c>
      <c r="B202" s="52" t="s">
        <v>5</v>
      </c>
      <c r="C202" s="52">
        <v>340</v>
      </c>
      <c r="D202" s="3">
        <f>E202+F202</f>
        <v>3540000</v>
      </c>
      <c r="E202" s="1">
        <f>E204+E205+E206+E207+E208+E209+E210</f>
        <v>3540000</v>
      </c>
      <c r="F202" s="1">
        <f>F204+F205+F206+F207+F208+F209+F210</f>
        <v>0</v>
      </c>
      <c r="G202" s="3">
        <f>H202+I202</f>
        <v>3540000</v>
      </c>
      <c r="H202" s="1">
        <f>H204+H205+H206+H207+H208+H209+H210</f>
        <v>3540000</v>
      </c>
      <c r="I202" s="1">
        <f>I204+I205+I206+I207+I208+I209+I210</f>
        <v>0</v>
      </c>
      <c r="J202" s="34"/>
      <c r="K202" s="34"/>
      <c r="L202" s="34"/>
    </row>
    <row r="203" spans="1:12" ht="18" x14ac:dyDescent="0.3">
      <c r="A203" s="48" t="s">
        <v>6</v>
      </c>
      <c r="B203" s="52"/>
      <c r="C203" s="52"/>
      <c r="D203" s="3"/>
      <c r="E203" s="1"/>
      <c r="F203" s="1"/>
      <c r="G203" s="3"/>
      <c r="H203" s="1"/>
      <c r="I203" s="1"/>
      <c r="J203" s="34"/>
      <c r="K203" s="34"/>
      <c r="L203" s="34"/>
    </row>
    <row r="204" spans="1:12" ht="108" x14ac:dyDescent="0.3">
      <c r="A204" s="48" t="s">
        <v>37</v>
      </c>
      <c r="B204" s="52">
        <v>244</v>
      </c>
      <c r="C204" s="52">
        <v>341</v>
      </c>
      <c r="D204" s="3">
        <f t="shared" ref="D204:D210" si="20">E204+F204</f>
        <v>0</v>
      </c>
      <c r="E204" s="1">
        <f t="shared" ref="E204:E209" si="21">E98-E162</f>
        <v>0</v>
      </c>
      <c r="F204" s="1"/>
      <c r="G204" s="3">
        <f t="shared" ref="G204:G210" si="22">H204+I204</f>
        <v>0</v>
      </c>
      <c r="H204" s="1">
        <f t="shared" ref="H204:H209" si="23">H98-H162</f>
        <v>0</v>
      </c>
      <c r="I204" s="1"/>
      <c r="J204" s="34"/>
      <c r="K204" s="34"/>
      <c r="L204" s="34"/>
    </row>
    <row r="205" spans="1:12" ht="36" x14ac:dyDescent="0.3">
      <c r="A205" s="48" t="s">
        <v>38</v>
      </c>
      <c r="B205" s="52">
        <v>244</v>
      </c>
      <c r="C205" s="52">
        <v>342</v>
      </c>
      <c r="D205" s="3">
        <f t="shared" si="20"/>
        <v>0</v>
      </c>
      <c r="E205" s="1">
        <f t="shared" si="21"/>
        <v>0</v>
      </c>
      <c r="F205" s="1"/>
      <c r="G205" s="3">
        <f t="shared" si="22"/>
        <v>0</v>
      </c>
      <c r="H205" s="1">
        <f t="shared" si="23"/>
        <v>0</v>
      </c>
      <c r="I205" s="1"/>
      <c r="J205" s="34"/>
      <c r="K205" s="34"/>
      <c r="L205" s="34"/>
    </row>
    <row r="206" spans="1:12" ht="54" x14ac:dyDescent="0.3">
      <c r="A206" s="48" t="s">
        <v>39</v>
      </c>
      <c r="B206" s="52">
        <v>244</v>
      </c>
      <c r="C206" s="52">
        <v>343</v>
      </c>
      <c r="D206" s="3">
        <f t="shared" si="20"/>
        <v>600000</v>
      </c>
      <c r="E206" s="1">
        <f t="shared" si="21"/>
        <v>600000</v>
      </c>
      <c r="F206" s="1"/>
      <c r="G206" s="3">
        <f t="shared" si="22"/>
        <v>600000</v>
      </c>
      <c r="H206" s="1">
        <f t="shared" si="23"/>
        <v>600000</v>
      </c>
      <c r="I206" s="1"/>
      <c r="J206" s="34"/>
      <c r="K206" s="34"/>
      <c r="L206" s="34"/>
    </row>
    <row r="207" spans="1:12" ht="54" x14ac:dyDescent="0.3">
      <c r="A207" s="48" t="s">
        <v>40</v>
      </c>
      <c r="B207" s="52">
        <v>244</v>
      </c>
      <c r="C207" s="52">
        <v>344</v>
      </c>
      <c r="D207" s="3">
        <f t="shared" si="20"/>
        <v>200000</v>
      </c>
      <c r="E207" s="1">
        <f t="shared" si="21"/>
        <v>200000</v>
      </c>
      <c r="F207" s="1"/>
      <c r="G207" s="3">
        <f t="shared" si="22"/>
        <v>200000</v>
      </c>
      <c r="H207" s="1">
        <f t="shared" si="23"/>
        <v>200000</v>
      </c>
      <c r="I207" s="1"/>
      <c r="J207" s="34"/>
      <c r="K207" s="34"/>
      <c r="L207" s="34"/>
    </row>
    <row r="208" spans="1:12" ht="36" x14ac:dyDescent="0.3">
      <c r="A208" s="48" t="s">
        <v>41</v>
      </c>
      <c r="B208" s="52">
        <v>244</v>
      </c>
      <c r="C208" s="52">
        <v>345</v>
      </c>
      <c r="D208" s="3">
        <f t="shared" si="20"/>
        <v>150000</v>
      </c>
      <c r="E208" s="1">
        <f t="shared" si="21"/>
        <v>150000</v>
      </c>
      <c r="F208" s="1"/>
      <c r="G208" s="3">
        <f t="shared" si="22"/>
        <v>150000</v>
      </c>
      <c r="H208" s="1">
        <f t="shared" si="23"/>
        <v>150000</v>
      </c>
      <c r="I208" s="1"/>
      <c r="J208" s="34"/>
      <c r="K208" s="34"/>
      <c r="L208" s="34"/>
    </row>
    <row r="209" spans="1:12" ht="54" x14ac:dyDescent="0.3">
      <c r="A209" s="48" t="s">
        <v>42</v>
      </c>
      <c r="B209" s="52">
        <v>244</v>
      </c>
      <c r="C209" s="52">
        <v>346</v>
      </c>
      <c r="D209" s="3">
        <f t="shared" si="20"/>
        <v>2300000</v>
      </c>
      <c r="E209" s="1">
        <f t="shared" si="21"/>
        <v>2300000</v>
      </c>
      <c r="F209" s="1"/>
      <c r="G209" s="3">
        <f t="shared" si="22"/>
        <v>2300000</v>
      </c>
      <c r="H209" s="1">
        <f t="shared" si="23"/>
        <v>2300000</v>
      </c>
      <c r="I209" s="1"/>
      <c r="J209" s="34"/>
      <c r="K209" s="34"/>
      <c r="L209" s="34"/>
    </row>
    <row r="210" spans="1:12" ht="72" x14ac:dyDescent="0.3">
      <c r="A210" s="48" t="s">
        <v>43</v>
      </c>
      <c r="B210" s="52">
        <v>244</v>
      </c>
      <c r="C210" s="52">
        <v>349</v>
      </c>
      <c r="D210" s="3">
        <f t="shared" si="20"/>
        <v>290000</v>
      </c>
      <c r="E210" s="1">
        <f t="shared" ref="E210" si="24">E105-E168</f>
        <v>290000</v>
      </c>
      <c r="F210" s="1"/>
      <c r="G210" s="3">
        <f t="shared" si="22"/>
        <v>290000</v>
      </c>
      <c r="H210" s="1">
        <f t="shared" ref="H210" si="25">H105-H168</f>
        <v>290000</v>
      </c>
      <c r="I210" s="1"/>
      <c r="J210" s="34"/>
      <c r="K210" s="34"/>
      <c r="L210" s="34"/>
    </row>
  </sheetData>
  <mergeCells count="38">
    <mergeCell ref="A191:A192"/>
    <mergeCell ref="E112:F112"/>
    <mergeCell ref="E113:F113"/>
    <mergeCell ref="A127:I127"/>
    <mergeCell ref="A146:A147"/>
    <mergeCell ref="A149:A150"/>
    <mergeCell ref="A169:I169"/>
    <mergeCell ref="A188:A189"/>
    <mergeCell ref="E115:F115"/>
    <mergeCell ref="C115:D115"/>
    <mergeCell ref="C118:D118"/>
    <mergeCell ref="A112:B112"/>
    <mergeCell ref="A115:B115"/>
    <mergeCell ref="A58:A62"/>
    <mergeCell ref="A68:A69"/>
    <mergeCell ref="N123:P123"/>
    <mergeCell ref="A123:I123"/>
    <mergeCell ref="K123:M123"/>
    <mergeCell ref="A121:B121"/>
    <mergeCell ref="E116:F116"/>
    <mergeCell ref="E118:F118"/>
    <mergeCell ref="E119:F119"/>
    <mergeCell ref="A74:A76"/>
    <mergeCell ref="A81:A86"/>
    <mergeCell ref="A88:A91"/>
    <mergeCell ref="C112:D112"/>
    <mergeCell ref="A35:A36"/>
    <mergeCell ref="A41:A42"/>
    <mergeCell ref="A55:A56"/>
    <mergeCell ref="A1:I1"/>
    <mergeCell ref="A2:I2"/>
    <mergeCell ref="A5:A6"/>
    <mergeCell ref="B5:B6"/>
    <mergeCell ref="C5:C6"/>
    <mergeCell ref="D5:D6"/>
    <mergeCell ref="H5:I5"/>
    <mergeCell ref="G5:G6"/>
    <mergeCell ref="E5:F5"/>
  </mergeCells>
  <pageMargins left="0.78740157480314965" right="0.78740157480314965" top="1.3779527559055118" bottom="0.39370078740157483" header="0.31496062992125984" footer="0.31496062992125984"/>
  <pageSetup paperSize="9" scale="6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16"/>
  <sheetViews>
    <sheetView showWhiteSpace="0" view="pageLayout" topLeftCell="A19" zoomScaleNormal="100" workbookViewId="0">
      <selection activeCell="H79" sqref="H79"/>
    </sheetView>
  </sheetViews>
  <sheetFormatPr defaultColWidth="8.88671875" defaultRowHeight="18" x14ac:dyDescent="0.35"/>
  <cols>
    <col min="1" max="1" width="24.6640625" style="339" customWidth="1"/>
    <col min="2" max="2" width="15.33203125" style="5" customWidth="1"/>
    <col min="3" max="3" width="14" style="5" customWidth="1"/>
    <col min="4" max="9" width="18.5546875" style="5" customWidth="1"/>
    <col min="10" max="16384" width="8.88671875" style="5"/>
  </cols>
  <sheetData>
    <row r="1" spans="1:9" ht="17.399999999999999" x14ac:dyDescent="0.3">
      <c r="A1" s="384" t="s">
        <v>261</v>
      </c>
      <c r="B1" s="384"/>
      <c r="C1" s="384"/>
      <c r="D1" s="384"/>
      <c r="E1" s="384"/>
      <c r="F1" s="384"/>
      <c r="G1" s="384"/>
      <c r="H1" s="384"/>
      <c r="I1" s="384"/>
    </row>
    <row r="2" spans="1:9" ht="17.399999999999999" x14ac:dyDescent="0.3">
      <c r="A2" s="384" t="s">
        <v>474</v>
      </c>
      <c r="B2" s="384"/>
      <c r="C2" s="384"/>
      <c r="D2" s="384"/>
      <c r="E2" s="384"/>
      <c r="F2" s="384"/>
      <c r="G2" s="384"/>
      <c r="H2" s="384"/>
      <c r="I2" s="384"/>
    </row>
    <row r="3" spans="1:9" ht="17.399999999999999" x14ac:dyDescent="0.3">
      <c r="A3" s="333"/>
    </row>
    <row r="4" spans="1:9" x14ac:dyDescent="0.3">
      <c r="A4" s="334"/>
      <c r="F4" s="4" t="s">
        <v>51</v>
      </c>
      <c r="G4" s="4"/>
    </row>
    <row r="5" spans="1:9" ht="30.6" customHeight="1" x14ac:dyDescent="0.3">
      <c r="A5" s="591" t="s">
        <v>0</v>
      </c>
      <c r="B5" s="404" t="s">
        <v>45</v>
      </c>
      <c r="C5" s="406" t="s">
        <v>46</v>
      </c>
      <c r="D5" s="404" t="s">
        <v>1</v>
      </c>
      <c r="E5" s="404" t="s">
        <v>454</v>
      </c>
      <c r="F5" s="404"/>
      <c r="G5" s="404" t="s">
        <v>1</v>
      </c>
      <c r="H5" s="404" t="s">
        <v>472</v>
      </c>
      <c r="I5" s="404"/>
    </row>
    <row r="6" spans="1:9" ht="15.6" x14ac:dyDescent="0.3">
      <c r="A6" s="591"/>
      <c r="B6" s="404"/>
      <c r="C6" s="406"/>
      <c r="D6" s="404"/>
      <c r="E6" s="404" t="s">
        <v>6</v>
      </c>
      <c r="F6" s="404"/>
      <c r="G6" s="404"/>
      <c r="H6" s="404" t="s">
        <v>6</v>
      </c>
      <c r="I6" s="404"/>
    </row>
    <row r="7" spans="1:9" ht="207" customHeight="1" x14ac:dyDescent="0.3">
      <c r="A7" s="591"/>
      <c r="B7" s="404"/>
      <c r="C7" s="406"/>
      <c r="D7" s="404"/>
      <c r="E7" s="229" t="s">
        <v>197</v>
      </c>
      <c r="F7" s="229" t="s">
        <v>198</v>
      </c>
      <c r="G7" s="404"/>
      <c r="H7" s="229" t="s">
        <v>197</v>
      </c>
      <c r="I7" s="229" t="s">
        <v>198</v>
      </c>
    </row>
    <row r="8" spans="1:9" x14ac:dyDescent="0.3">
      <c r="A8" s="335">
        <v>1</v>
      </c>
      <c r="B8" s="231">
        <v>2</v>
      </c>
      <c r="C8" s="231">
        <v>3</v>
      </c>
      <c r="D8" s="231">
        <v>4</v>
      </c>
      <c r="E8" s="231">
        <v>5</v>
      </c>
      <c r="F8" s="231">
        <v>6</v>
      </c>
      <c r="G8" s="231">
        <v>7</v>
      </c>
      <c r="H8" s="231">
        <v>8</v>
      </c>
      <c r="I8" s="231">
        <v>9</v>
      </c>
    </row>
    <row r="9" spans="1:9" ht="36" x14ac:dyDescent="0.3">
      <c r="A9" s="235" t="s">
        <v>234</v>
      </c>
      <c r="B9" s="231" t="s">
        <v>5</v>
      </c>
      <c r="C9" s="231" t="s">
        <v>5</v>
      </c>
      <c r="D9" s="3">
        <f>E9+F9</f>
        <v>12761057</v>
      </c>
      <c r="E9" s="1"/>
      <c r="F9" s="1">
        <v>12761057</v>
      </c>
      <c r="G9" s="3">
        <f>H9+I9</f>
        <v>12761057</v>
      </c>
      <c r="H9" s="1"/>
      <c r="I9" s="1">
        <v>12761057</v>
      </c>
    </row>
    <row r="10" spans="1:9" x14ac:dyDescent="0.3">
      <c r="A10" s="235" t="s">
        <v>7</v>
      </c>
      <c r="B10" s="231" t="s">
        <v>5</v>
      </c>
      <c r="C10" s="231">
        <v>900</v>
      </c>
      <c r="D10" s="3">
        <f>E10+F10</f>
        <v>12761057</v>
      </c>
      <c r="E10" s="1">
        <f>E13+E45+E60+E92</f>
        <v>0</v>
      </c>
      <c r="F10" s="1">
        <f>F13+F45+F60+F92</f>
        <v>12761057</v>
      </c>
      <c r="G10" s="3">
        <f>H10+I10</f>
        <v>12761057</v>
      </c>
      <c r="H10" s="1">
        <f>H13+H45+H60+H92</f>
        <v>0</v>
      </c>
      <c r="I10" s="1">
        <f>I13+I45+I60+I92</f>
        <v>12761057</v>
      </c>
    </row>
    <row r="11" spans="1:9" x14ac:dyDescent="0.3">
      <c r="A11" s="235" t="s">
        <v>6</v>
      </c>
      <c r="B11" s="231"/>
      <c r="C11" s="231"/>
      <c r="D11" s="3"/>
      <c r="E11" s="1"/>
      <c r="F11" s="1"/>
      <c r="G11" s="3"/>
      <c r="H11" s="1"/>
      <c r="I11" s="1"/>
    </row>
    <row r="12" spans="1:9" ht="25.5" customHeight="1" x14ac:dyDescent="0.3">
      <c r="A12" s="403" t="s">
        <v>199</v>
      </c>
      <c r="B12" s="403"/>
      <c r="C12" s="403"/>
      <c r="D12" s="403"/>
      <c r="E12" s="403"/>
      <c r="F12" s="403"/>
      <c r="G12" s="403"/>
      <c r="H12" s="403"/>
      <c r="I12" s="403"/>
    </row>
    <row r="13" spans="1:9" x14ac:dyDescent="0.3">
      <c r="A13" s="235" t="s">
        <v>8</v>
      </c>
      <c r="B13" s="231" t="s">
        <v>5</v>
      </c>
      <c r="C13" s="231">
        <v>200</v>
      </c>
      <c r="D13" s="3">
        <f t="shared" ref="D13:D49" si="0">E13+F13</f>
        <v>0</v>
      </c>
      <c r="E13" s="1">
        <f>E15+E18+E41</f>
        <v>0</v>
      </c>
      <c r="F13" s="1">
        <f>F15+F18+F41</f>
        <v>0</v>
      </c>
      <c r="G13" s="3">
        <f>H13+I13</f>
        <v>0</v>
      </c>
      <c r="H13" s="1">
        <f>H15+H18+H41</f>
        <v>0</v>
      </c>
      <c r="I13" s="1">
        <f>I15+I18+I41</f>
        <v>0</v>
      </c>
    </row>
    <row r="14" spans="1:9" ht="14.4" customHeight="1" x14ac:dyDescent="0.3">
      <c r="A14" s="235" t="s">
        <v>9</v>
      </c>
      <c r="B14" s="231"/>
      <c r="C14" s="231"/>
      <c r="D14" s="3"/>
      <c r="E14" s="1"/>
      <c r="F14" s="1"/>
      <c r="G14" s="3"/>
      <c r="H14" s="1"/>
      <c r="I14" s="1"/>
    </row>
    <row r="15" spans="1:9" ht="72" x14ac:dyDescent="0.3">
      <c r="A15" s="235" t="s">
        <v>10</v>
      </c>
      <c r="B15" s="231" t="s">
        <v>5</v>
      </c>
      <c r="C15" s="231">
        <v>210</v>
      </c>
      <c r="D15" s="3">
        <f t="shared" si="0"/>
        <v>0</v>
      </c>
      <c r="E15" s="1">
        <f>E17</f>
        <v>0</v>
      </c>
      <c r="F15" s="1">
        <f>F17</f>
        <v>0</v>
      </c>
      <c r="G15" s="3">
        <f>H15+I15</f>
        <v>0</v>
      </c>
      <c r="H15" s="1">
        <f>H17</f>
        <v>0</v>
      </c>
      <c r="I15" s="1">
        <f>I17</f>
        <v>0</v>
      </c>
    </row>
    <row r="16" spans="1:9" x14ac:dyDescent="0.3">
      <c r="A16" s="235" t="s">
        <v>9</v>
      </c>
      <c r="B16" s="231"/>
      <c r="C16" s="231"/>
      <c r="D16" s="3"/>
      <c r="E16" s="1"/>
      <c r="F16" s="1"/>
      <c r="G16" s="3"/>
      <c r="H16" s="1"/>
      <c r="I16" s="1"/>
    </row>
    <row r="17" spans="1:9" ht="74.25" customHeight="1" x14ac:dyDescent="0.3">
      <c r="A17" s="235" t="s">
        <v>200</v>
      </c>
      <c r="B17" s="231">
        <v>244</v>
      </c>
      <c r="C17" s="231">
        <v>214</v>
      </c>
      <c r="D17" s="3">
        <f>E17+F17</f>
        <v>0</v>
      </c>
      <c r="E17" s="1">
        <f>'платные на 2023-2024 год'!E132</f>
        <v>0</v>
      </c>
      <c r="F17" s="1">
        <f>'платные на 2023-2024 год'!F132</f>
        <v>0</v>
      </c>
      <c r="G17" s="3">
        <f>H17+I17</f>
        <v>0</v>
      </c>
      <c r="H17" s="1">
        <f>'платные на 2023-2024 год'!H132</f>
        <v>0</v>
      </c>
      <c r="I17" s="1">
        <f>'платные на 2023-2024 год'!I132</f>
        <v>0</v>
      </c>
    </row>
    <row r="18" spans="1:9" ht="36" x14ac:dyDescent="0.3">
      <c r="A18" s="235" t="s">
        <v>14</v>
      </c>
      <c r="B18" s="231" t="s">
        <v>5</v>
      </c>
      <c r="C18" s="231">
        <v>220</v>
      </c>
      <c r="D18" s="3">
        <f t="shared" si="0"/>
        <v>0</v>
      </c>
      <c r="E18" s="1">
        <f>E20+E21+E22+E32+E33+E36+E39</f>
        <v>0</v>
      </c>
      <c r="F18" s="1">
        <f>F20+F21+F22+F32+F33+F36+F39</f>
        <v>0</v>
      </c>
      <c r="G18" s="3">
        <f>H18+I18</f>
        <v>0</v>
      </c>
      <c r="H18" s="1">
        <f>H20+H21+H22+H32+H33+H36+H39</f>
        <v>0</v>
      </c>
      <c r="I18" s="1">
        <f>I20+I21+I22+I32+I33+I36+I39</f>
        <v>0</v>
      </c>
    </row>
    <row r="19" spans="1:9" x14ac:dyDescent="0.3">
      <c r="A19" s="235" t="s">
        <v>9</v>
      </c>
      <c r="B19" s="231"/>
      <c r="C19" s="231"/>
      <c r="D19" s="3"/>
      <c r="E19" s="1"/>
      <c r="F19" s="1"/>
      <c r="G19" s="3"/>
      <c r="H19" s="1"/>
      <c r="I19" s="1"/>
    </row>
    <row r="20" spans="1:9" x14ac:dyDescent="0.3">
      <c r="A20" s="235" t="s">
        <v>15</v>
      </c>
      <c r="B20" s="231">
        <v>244</v>
      </c>
      <c r="C20" s="231">
        <v>221</v>
      </c>
      <c r="D20" s="3">
        <f t="shared" si="0"/>
        <v>0</v>
      </c>
      <c r="E20" s="1">
        <f>'платные на 2023-2024 год'!E135</f>
        <v>0</v>
      </c>
      <c r="F20" s="1">
        <f>'платные на 2023-2024 год'!F135</f>
        <v>0</v>
      </c>
      <c r="G20" s="3">
        <f>H20+I20</f>
        <v>0</v>
      </c>
      <c r="H20" s="1">
        <f>'платные на 2023-2024 год'!H135</f>
        <v>0</v>
      </c>
      <c r="I20" s="1">
        <f>'платные на 2023-2024 год'!I135</f>
        <v>0</v>
      </c>
    </row>
    <row r="21" spans="1:9" ht="36" x14ac:dyDescent="0.3">
      <c r="A21" s="235" t="s">
        <v>16</v>
      </c>
      <c r="B21" s="231">
        <v>244</v>
      </c>
      <c r="C21" s="231">
        <v>222</v>
      </c>
      <c r="D21" s="3">
        <f t="shared" si="0"/>
        <v>0</v>
      </c>
      <c r="E21" s="1">
        <f>'платные на 2023-2024 год'!E136</f>
        <v>0</v>
      </c>
      <c r="F21" s="1">
        <f>'платные на 2023-2024 год'!F136</f>
        <v>0</v>
      </c>
      <c r="G21" s="3">
        <f>H21+I21</f>
        <v>0</v>
      </c>
      <c r="H21" s="1">
        <f>'платные на 2023-2024 год'!H136</f>
        <v>0</v>
      </c>
      <c r="I21" s="1">
        <f>'платные на 2023-2024 год'!I136</f>
        <v>0</v>
      </c>
    </row>
    <row r="22" spans="1:9" ht="36" x14ac:dyDescent="0.3">
      <c r="A22" s="235" t="s">
        <v>17</v>
      </c>
      <c r="B22" s="231" t="s">
        <v>5</v>
      </c>
      <c r="C22" s="231">
        <v>223</v>
      </c>
      <c r="D22" s="3">
        <f t="shared" si="0"/>
        <v>0</v>
      </c>
      <c r="E22" s="1">
        <f>E27+E28+E29+E30+E31</f>
        <v>0</v>
      </c>
      <c r="F22" s="1">
        <f>F27+F28+F29+F30+F31</f>
        <v>0</v>
      </c>
      <c r="G22" s="3">
        <f>H22+I22</f>
        <v>0</v>
      </c>
      <c r="H22" s="1">
        <f>H27+H28+H29+H30+H31</f>
        <v>0</v>
      </c>
      <c r="I22" s="1">
        <f>I27+I28+I29+I30+I31</f>
        <v>0</v>
      </c>
    </row>
    <row r="23" spans="1:9" x14ac:dyDescent="0.3">
      <c r="A23" s="235" t="s">
        <v>6</v>
      </c>
      <c r="B23" s="231"/>
      <c r="C23" s="231"/>
      <c r="D23" s="3"/>
      <c r="E23" s="1"/>
      <c r="F23" s="1"/>
      <c r="G23" s="3"/>
      <c r="H23" s="1"/>
      <c r="I23" s="1"/>
    </row>
    <row r="24" spans="1:9" ht="54" x14ac:dyDescent="0.3">
      <c r="A24" s="332" t="s">
        <v>18</v>
      </c>
      <c r="B24" s="262">
        <v>244</v>
      </c>
      <c r="C24" s="262">
        <v>223</v>
      </c>
      <c r="D24" s="3"/>
      <c r="E24" s="1"/>
      <c r="F24" s="1"/>
      <c r="G24" s="3"/>
      <c r="H24" s="1"/>
      <c r="I24" s="1"/>
    </row>
    <row r="25" spans="1:9" ht="36" x14ac:dyDescent="0.3">
      <c r="A25" s="336" t="s">
        <v>19</v>
      </c>
      <c r="B25" s="317">
        <v>244</v>
      </c>
      <c r="C25" s="317">
        <v>223</v>
      </c>
      <c r="D25" s="3"/>
      <c r="E25" s="1"/>
      <c r="F25" s="1"/>
      <c r="G25" s="3"/>
      <c r="H25" s="1"/>
      <c r="I25" s="1"/>
    </row>
    <row r="26" spans="1:9" ht="57" customHeight="1" x14ac:dyDescent="0.3">
      <c r="A26" s="336" t="s">
        <v>20</v>
      </c>
      <c r="B26" s="317">
        <v>244</v>
      </c>
      <c r="C26" s="317">
        <v>223</v>
      </c>
      <c r="D26" s="3"/>
      <c r="E26" s="1"/>
      <c r="F26" s="1"/>
      <c r="G26" s="3"/>
      <c r="H26" s="1"/>
      <c r="I26" s="1"/>
    </row>
    <row r="27" spans="1:9" ht="54" x14ac:dyDescent="0.3">
      <c r="A27" s="235" t="s">
        <v>18</v>
      </c>
      <c r="B27" s="231">
        <v>247</v>
      </c>
      <c r="C27" s="231">
        <v>223</v>
      </c>
      <c r="D27" s="3">
        <f t="shared" si="0"/>
        <v>0</v>
      </c>
      <c r="E27" s="1">
        <f>'платные на 2023-2024 год'!E139</f>
        <v>0</v>
      </c>
      <c r="F27" s="1">
        <f>'платные на 2023-2024 год'!F139</f>
        <v>0</v>
      </c>
      <c r="G27" s="3">
        <f t="shared" ref="G27:G32" si="1">H27+I27</f>
        <v>0</v>
      </c>
      <c r="H27" s="1">
        <f>'платные на 2023-2024 год'!H139</f>
        <v>0</v>
      </c>
      <c r="I27" s="1">
        <f>'платные на 2023-2024 год'!I139</f>
        <v>0</v>
      </c>
    </row>
    <row r="28" spans="1:9" ht="36" x14ac:dyDescent="0.3">
      <c r="A28" s="235" t="s">
        <v>19</v>
      </c>
      <c r="B28" s="231">
        <v>247</v>
      </c>
      <c r="C28" s="231">
        <v>223</v>
      </c>
      <c r="D28" s="3">
        <f t="shared" si="0"/>
        <v>0</v>
      </c>
      <c r="E28" s="1">
        <f>'платные на 2023-2024 год'!E140</f>
        <v>0</v>
      </c>
      <c r="F28" s="1">
        <f>'платные на 2023-2024 год'!F140</f>
        <v>0</v>
      </c>
      <c r="G28" s="3">
        <f t="shared" si="1"/>
        <v>0</v>
      </c>
      <c r="H28" s="1">
        <f>'платные на 2023-2024 год'!H140</f>
        <v>0</v>
      </c>
      <c r="I28" s="1">
        <f>'платные на 2023-2024 год'!I140</f>
        <v>0</v>
      </c>
    </row>
    <row r="29" spans="1:9" ht="59.25" customHeight="1" x14ac:dyDescent="0.3">
      <c r="A29" s="235" t="s">
        <v>20</v>
      </c>
      <c r="B29" s="231">
        <v>247</v>
      </c>
      <c r="C29" s="231">
        <v>223</v>
      </c>
      <c r="D29" s="3">
        <f t="shared" si="0"/>
        <v>0</v>
      </c>
      <c r="E29" s="1">
        <f>'платные на 2023-2024 год'!E141</f>
        <v>0</v>
      </c>
      <c r="F29" s="1">
        <f>'платные на 2023-2024 год'!F141</f>
        <v>0</v>
      </c>
      <c r="G29" s="3">
        <f t="shared" si="1"/>
        <v>0</v>
      </c>
      <c r="H29" s="1">
        <f>'платные на 2023-2024 год'!H141</f>
        <v>0</v>
      </c>
      <c r="I29" s="1">
        <f>'платные на 2023-2024 год'!I141</f>
        <v>0</v>
      </c>
    </row>
    <row r="30" spans="1:9" ht="72" x14ac:dyDescent="0.3">
      <c r="A30" s="235" t="s">
        <v>21</v>
      </c>
      <c r="B30" s="231">
        <v>244</v>
      </c>
      <c r="C30" s="231">
        <v>223</v>
      </c>
      <c r="D30" s="3">
        <f t="shared" si="0"/>
        <v>0</v>
      </c>
      <c r="E30" s="1">
        <f>'платные на 2023-2024 год'!E142</f>
        <v>0</v>
      </c>
      <c r="F30" s="1">
        <f>'платные на 2023-2024 год'!F142</f>
        <v>0</v>
      </c>
      <c r="G30" s="3">
        <f t="shared" si="1"/>
        <v>0</v>
      </c>
      <c r="H30" s="1">
        <f>'платные на 2023-2024 год'!H142</f>
        <v>0</v>
      </c>
      <c r="I30" s="1">
        <f>'платные на 2023-2024 год'!I142</f>
        <v>0</v>
      </c>
    </row>
    <row r="31" spans="1:9" ht="54" x14ac:dyDescent="0.3">
      <c r="A31" s="235" t="s">
        <v>22</v>
      </c>
      <c r="B31" s="231">
        <v>244</v>
      </c>
      <c r="C31" s="231">
        <v>223</v>
      </c>
      <c r="D31" s="3">
        <f t="shared" si="0"/>
        <v>0</v>
      </c>
      <c r="E31" s="1">
        <f>'платные на 2023-2024 год'!E143</f>
        <v>0</v>
      </c>
      <c r="F31" s="1">
        <f>'платные на 2023-2024 год'!F143</f>
        <v>0</v>
      </c>
      <c r="G31" s="3">
        <f t="shared" si="1"/>
        <v>0</v>
      </c>
      <c r="H31" s="1">
        <f>'платные на 2023-2024 год'!H143</f>
        <v>0</v>
      </c>
      <c r="I31" s="1">
        <f>'платные на 2023-2024 год'!I143</f>
        <v>0</v>
      </c>
    </row>
    <row r="32" spans="1:9" ht="162" x14ac:dyDescent="0.3">
      <c r="A32" s="235" t="s">
        <v>23</v>
      </c>
      <c r="B32" s="231">
        <v>244</v>
      </c>
      <c r="C32" s="231">
        <v>224</v>
      </c>
      <c r="D32" s="3">
        <f t="shared" si="0"/>
        <v>0</v>
      </c>
      <c r="E32" s="1">
        <f>'платные на 2023-2024 год'!E144</f>
        <v>0</v>
      </c>
      <c r="F32" s="1">
        <f>'платные на 2023-2024 год'!F144</f>
        <v>0</v>
      </c>
      <c r="G32" s="3">
        <f t="shared" si="1"/>
        <v>0</v>
      </c>
      <c r="H32" s="1">
        <f>'платные на 2023-2024 год'!H144</f>
        <v>0</v>
      </c>
      <c r="I32" s="1">
        <f>'платные на 2023-2024 год'!I144</f>
        <v>0</v>
      </c>
    </row>
    <row r="33" spans="1:9" ht="54" x14ac:dyDescent="0.3">
      <c r="A33" s="235" t="s">
        <v>24</v>
      </c>
      <c r="B33" s="231" t="s">
        <v>5</v>
      </c>
      <c r="C33" s="231">
        <v>225</v>
      </c>
      <c r="D33" s="1">
        <f t="shared" ref="D33:I33" si="2">D34+D35</f>
        <v>0</v>
      </c>
      <c r="E33" s="1">
        <f t="shared" si="2"/>
        <v>0</v>
      </c>
      <c r="F33" s="1">
        <f t="shared" si="2"/>
        <v>0</v>
      </c>
      <c r="G33" s="1">
        <f t="shared" si="2"/>
        <v>0</v>
      </c>
      <c r="H33" s="1">
        <f t="shared" si="2"/>
        <v>0</v>
      </c>
      <c r="I33" s="1">
        <f t="shared" si="2"/>
        <v>0</v>
      </c>
    </row>
    <row r="34" spans="1:9" x14ac:dyDescent="0.3">
      <c r="A34" s="590" t="s">
        <v>6</v>
      </c>
      <c r="B34" s="231">
        <v>243</v>
      </c>
      <c r="C34" s="231">
        <v>225</v>
      </c>
      <c r="D34" s="3">
        <f t="shared" si="0"/>
        <v>0</v>
      </c>
      <c r="E34" s="1">
        <f>'платные на 2023-2024 год'!E146</f>
        <v>0</v>
      </c>
      <c r="F34" s="1">
        <f>'платные на 2023-2024 год'!F146</f>
        <v>0</v>
      </c>
      <c r="G34" s="3">
        <f t="shared" ref="G34:G45" si="3">H34+I34</f>
        <v>0</v>
      </c>
      <c r="H34" s="1">
        <f>'платные на 2023-2024 год'!H146</f>
        <v>0</v>
      </c>
      <c r="I34" s="1">
        <f>'платные на 2023-2024 год'!I146</f>
        <v>0</v>
      </c>
    </row>
    <row r="35" spans="1:9" x14ac:dyDescent="0.3">
      <c r="A35" s="590"/>
      <c r="B35" s="231">
        <v>244</v>
      </c>
      <c r="C35" s="231">
        <v>225</v>
      </c>
      <c r="D35" s="3">
        <f t="shared" si="0"/>
        <v>0</v>
      </c>
      <c r="E35" s="1">
        <f>'платные на 2023-2024 год'!E147</f>
        <v>0</v>
      </c>
      <c r="F35" s="1">
        <f>'платные на 2023-2024 год'!F147</f>
        <v>0</v>
      </c>
      <c r="G35" s="3">
        <f t="shared" si="3"/>
        <v>0</v>
      </c>
      <c r="H35" s="1">
        <f>'платные на 2023-2024 год'!H147</f>
        <v>0</v>
      </c>
      <c r="I35" s="1">
        <f>'платные на 2023-2024 год'!I147</f>
        <v>0</v>
      </c>
    </row>
    <row r="36" spans="1:9" ht="36" x14ac:dyDescent="0.3">
      <c r="A36" s="235" t="s">
        <v>58</v>
      </c>
      <c r="B36" s="231" t="s">
        <v>5</v>
      </c>
      <c r="C36" s="231">
        <v>226</v>
      </c>
      <c r="D36" s="3">
        <f t="shared" si="0"/>
        <v>0</v>
      </c>
      <c r="E36" s="1">
        <f>E37+E38</f>
        <v>0</v>
      </c>
      <c r="F36" s="1">
        <f>F37+F38</f>
        <v>0</v>
      </c>
      <c r="G36" s="3">
        <f t="shared" si="3"/>
        <v>0</v>
      </c>
      <c r="H36" s="1">
        <f>H37+H38</f>
        <v>0</v>
      </c>
      <c r="I36" s="1">
        <f>I37+I38</f>
        <v>0</v>
      </c>
    </row>
    <row r="37" spans="1:9" x14ac:dyDescent="0.3">
      <c r="A37" s="590" t="s">
        <v>6</v>
      </c>
      <c r="B37" s="231">
        <v>243</v>
      </c>
      <c r="C37" s="231">
        <v>226</v>
      </c>
      <c r="D37" s="3">
        <f t="shared" si="0"/>
        <v>0</v>
      </c>
      <c r="E37" s="1">
        <f>'платные на 2023-2024 год'!E149</f>
        <v>0</v>
      </c>
      <c r="F37" s="1">
        <f>'платные на 2023-2024 год'!F149</f>
        <v>0</v>
      </c>
      <c r="G37" s="3">
        <f t="shared" si="3"/>
        <v>0</v>
      </c>
      <c r="H37" s="1">
        <f>'платные на 2023-2024 год'!H149</f>
        <v>0</v>
      </c>
      <c r="I37" s="1">
        <f>'платные на 2023-2024 год'!I149</f>
        <v>0</v>
      </c>
    </row>
    <row r="38" spans="1:9" x14ac:dyDescent="0.3">
      <c r="A38" s="590"/>
      <c r="B38" s="231">
        <v>244</v>
      </c>
      <c r="C38" s="231">
        <v>226</v>
      </c>
      <c r="D38" s="3">
        <f t="shared" si="0"/>
        <v>0</v>
      </c>
      <c r="E38" s="1">
        <f>'платные на 2023-2024 год'!E150</f>
        <v>0</v>
      </c>
      <c r="F38" s="1">
        <f>'платные на 2023-2024 год'!F150</f>
        <v>0</v>
      </c>
      <c r="G38" s="3">
        <f t="shared" si="3"/>
        <v>0</v>
      </c>
      <c r="H38" s="1">
        <f>'платные на 2023-2024 год'!H150</f>
        <v>0</v>
      </c>
      <c r="I38" s="1">
        <f>'платные на 2023-2024 год'!I150</f>
        <v>0</v>
      </c>
    </row>
    <row r="39" spans="1:9" x14ac:dyDescent="0.3">
      <c r="A39" s="235" t="s">
        <v>25</v>
      </c>
      <c r="B39" s="231">
        <v>244</v>
      </c>
      <c r="C39" s="231">
        <v>227</v>
      </c>
      <c r="D39" s="3">
        <f t="shared" si="0"/>
        <v>0</v>
      </c>
      <c r="E39" s="1">
        <f>'платные на 2023-2024 год'!E151</f>
        <v>0</v>
      </c>
      <c r="F39" s="1">
        <f>'платные на 2023-2024 год'!F151</f>
        <v>0</v>
      </c>
      <c r="G39" s="3">
        <f t="shared" si="3"/>
        <v>0</v>
      </c>
      <c r="H39" s="1">
        <f>'платные на 2023-2024 год'!H151</f>
        <v>0</v>
      </c>
      <c r="I39" s="1">
        <f>'платные на 2023-2024 год'!I151</f>
        <v>0</v>
      </c>
    </row>
    <row r="40" spans="1:9" ht="54" x14ac:dyDescent="0.3">
      <c r="A40" s="332" t="s">
        <v>445</v>
      </c>
      <c r="B40" s="262">
        <v>244</v>
      </c>
      <c r="C40" s="262">
        <v>228</v>
      </c>
      <c r="D40" s="3">
        <v>0</v>
      </c>
      <c r="E40" s="1">
        <v>0</v>
      </c>
      <c r="F40" s="1">
        <v>0</v>
      </c>
      <c r="G40" s="3">
        <v>0</v>
      </c>
      <c r="H40" s="1">
        <v>0</v>
      </c>
      <c r="I40" s="1">
        <v>0</v>
      </c>
    </row>
    <row r="41" spans="1:9" x14ac:dyDescent="0.3">
      <c r="A41" s="235" t="s">
        <v>30</v>
      </c>
      <c r="B41" s="231" t="s">
        <v>5</v>
      </c>
      <c r="C41" s="231">
        <v>290</v>
      </c>
      <c r="D41" s="3">
        <f t="shared" si="0"/>
        <v>0</v>
      </c>
      <c r="E41" s="1">
        <f>E43+E44</f>
        <v>0</v>
      </c>
      <c r="F41" s="1">
        <f>F43+F44</f>
        <v>0</v>
      </c>
      <c r="G41" s="3">
        <f t="shared" si="3"/>
        <v>0</v>
      </c>
      <c r="H41" s="1">
        <f>H43+H44</f>
        <v>0</v>
      </c>
      <c r="I41" s="1">
        <f>I43+I44</f>
        <v>0</v>
      </c>
    </row>
    <row r="42" spans="1:9" x14ac:dyDescent="0.3">
      <c r="A42" s="235" t="s">
        <v>9</v>
      </c>
      <c r="B42" s="231"/>
      <c r="C42" s="231"/>
      <c r="D42" s="3">
        <f t="shared" si="0"/>
        <v>0</v>
      </c>
      <c r="E42" s="1"/>
      <c r="F42" s="1"/>
      <c r="G42" s="3">
        <f t="shared" si="3"/>
        <v>0</v>
      </c>
      <c r="H42" s="1"/>
      <c r="I42" s="1"/>
    </row>
    <row r="43" spans="1:9" ht="54" x14ac:dyDescent="0.3">
      <c r="A43" s="235" t="s">
        <v>34</v>
      </c>
      <c r="B43" s="231">
        <v>244</v>
      </c>
      <c r="C43" s="231">
        <v>296</v>
      </c>
      <c r="D43" s="3">
        <f t="shared" si="0"/>
        <v>0</v>
      </c>
      <c r="E43" s="1">
        <f>'платные на 2023-2024 год'!E154</f>
        <v>0</v>
      </c>
      <c r="F43" s="1">
        <f>'платные на 2023-2024 год'!F154</f>
        <v>0</v>
      </c>
      <c r="G43" s="3">
        <f t="shared" si="3"/>
        <v>0</v>
      </c>
      <c r="H43" s="1">
        <f>'платные на 2023-2024 год'!H154</f>
        <v>0</v>
      </c>
      <c r="I43" s="1">
        <f>'платные на 2023-2024 год'!I154</f>
        <v>0</v>
      </c>
    </row>
    <row r="44" spans="1:9" ht="54" x14ac:dyDescent="0.3">
      <c r="A44" s="235" t="s">
        <v>35</v>
      </c>
      <c r="B44" s="231">
        <v>244</v>
      </c>
      <c r="C44" s="231">
        <v>297</v>
      </c>
      <c r="D44" s="3">
        <f t="shared" si="0"/>
        <v>0</v>
      </c>
      <c r="E44" s="1">
        <f>'платные на 2023-2024 год'!E155</f>
        <v>0</v>
      </c>
      <c r="F44" s="1">
        <f>'платные на 2023-2024 год'!F155</f>
        <v>0</v>
      </c>
      <c r="G44" s="3">
        <f t="shared" si="3"/>
        <v>0</v>
      </c>
      <c r="H44" s="1">
        <f>'платные на 2023-2024 год'!H155</f>
        <v>0</v>
      </c>
      <c r="I44" s="1">
        <f>'платные на 2023-2024 год'!I155</f>
        <v>0</v>
      </c>
    </row>
    <row r="45" spans="1:9" ht="54" x14ac:dyDescent="0.3">
      <c r="A45" s="235" t="s">
        <v>59</v>
      </c>
      <c r="B45" s="231" t="s">
        <v>5</v>
      </c>
      <c r="C45" s="231">
        <v>300</v>
      </c>
      <c r="D45" s="3">
        <f t="shared" si="0"/>
        <v>0</v>
      </c>
      <c r="E45" s="1">
        <f>E47+E49+E48</f>
        <v>0</v>
      </c>
      <c r="F45" s="1">
        <f>F47+F49+F48</f>
        <v>0</v>
      </c>
      <c r="G45" s="3">
        <f t="shared" si="3"/>
        <v>0</v>
      </c>
      <c r="H45" s="1">
        <f>H47+H49+H48</f>
        <v>0</v>
      </c>
      <c r="I45" s="1">
        <f>I47+I49+I48</f>
        <v>0</v>
      </c>
    </row>
    <row r="46" spans="1:9" x14ac:dyDescent="0.3">
      <c r="A46" s="235" t="s">
        <v>9</v>
      </c>
      <c r="B46" s="231"/>
      <c r="C46" s="231"/>
      <c r="D46" s="3"/>
      <c r="E46" s="1"/>
      <c r="F46" s="1"/>
      <c r="G46" s="3"/>
      <c r="H46" s="1"/>
      <c r="I46" s="1"/>
    </row>
    <row r="47" spans="1:9" ht="54" x14ac:dyDescent="0.3">
      <c r="A47" s="235" t="s">
        <v>36</v>
      </c>
      <c r="B47" s="231">
        <v>244</v>
      </c>
      <c r="C47" s="231">
        <v>310</v>
      </c>
      <c r="D47" s="3">
        <f t="shared" si="0"/>
        <v>0</v>
      </c>
      <c r="E47" s="1">
        <f>'платные на 2023-2024 год'!E158</f>
        <v>0</v>
      </c>
      <c r="F47" s="1">
        <f>'платные на 2023-2024 год'!F158</f>
        <v>0</v>
      </c>
      <c r="G47" s="3">
        <f>H47+I47</f>
        <v>0</v>
      </c>
      <c r="H47" s="1">
        <f>'платные на 2023-2024 год'!H158</f>
        <v>0</v>
      </c>
      <c r="I47" s="1">
        <f>'платные на 2023-2024 год'!I158</f>
        <v>0</v>
      </c>
    </row>
    <row r="48" spans="1:9" ht="72" x14ac:dyDescent="0.3">
      <c r="A48" s="235" t="s">
        <v>68</v>
      </c>
      <c r="B48" s="231">
        <v>244</v>
      </c>
      <c r="C48" s="231">
        <v>320</v>
      </c>
      <c r="D48" s="3">
        <f t="shared" si="0"/>
        <v>0</v>
      </c>
      <c r="E48" s="1">
        <f>'платные на 2023-2024 год'!E159</f>
        <v>0</v>
      </c>
      <c r="F48" s="1">
        <f>'платные на 2023-2024 год'!F159</f>
        <v>0</v>
      </c>
      <c r="G48" s="3">
        <f>H48+I48</f>
        <v>0</v>
      </c>
      <c r="H48" s="1">
        <f>'платные на 2023-2024 год'!H159</f>
        <v>0</v>
      </c>
      <c r="I48" s="1">
        <f>'платные на 2023-2024 год'!I159</f>
        <v>0</v>
      </c>
    </row>
    <row r="49" spans="1:9" ht="72" x14ac:dyDescent="0.3">
      <c r="A49" s="235" t="s">
        <v>60</v>
      </c>
      <c r="B49" s="231" t="s">
        <v>5</v>
      </c>
      <c r="C49" s="231">
        <v>340</v>
      </c>
      <c r="D49" s="3">
        <f t="shared" si="0"/>
        <v>0</v>
      </c>
      <c r="E49" s="1">
        <f>E51+E52+E53+E54+E55+E56+E58</f>
        <v>0</v>
      </c>
      <c r="F49" s="1">
        <f>F51+F52+F53+F54+F55+F56+F58</f>
        <v>0</v>
      </c>
      <c r="G49" s="3">
        <f>H49+I49</f>
        <v>0</v>
      </c>
      <c r="H49" s="1">
        <f>H51+H52+H53+H54+H55+H56+H58</f>
        <v>0</v>
      </c>
      <c r="I49" s="1">
        <f>I51+I52+I53+I54+I55+I56+I58</f>
        <v>0</v>
      </c>
    </row>
    <row r="50" spans="1:9" x14ac:dyDescent="0.3">
      <c r="A50" s="235" t="s">
        <v>6</v>
      </c>
      <c r="B50" s="231"/>
      <c r="C50" s="231"/>
      <c r="D50" s="3"/>
      <c r="E50" s="1"/>
      <c r="F50" s="1"/>
      <c r="G50" s="3"/>
      <c r="H50" s="1"/>
      <c r="I50" s="1"/>
    </row>
    <row r="51" spans="1:9" ht="126" x14ac:dyDescent="0.3">
      <c r="A51" s="235" t="s">
        <v>37</v>
      </c>
      <c r="B51" s="231">
        <v>244</v>
      </c>
      <c r="C51" s="231">
        <v>341</v>
      </c>
      <c r="D51" s="3">
        <f t="shared" ref="D51:D58" si="4">E51+F51</f>
        <v>0</v>
      </c>
      <c r="E51" s="1">
        <f>'платные на 2023-2024 год'!E162</f>
        <v>0</v>
      </c>
      <c r="F51" s="1">
        <f>'платные на 2023-2024 год'!F162</f>
        <v>0</v>
      </c>
      <c r="G51" s="3">
        <f t="shared" ref="G51:G58" si="5">H51+I51</f>
        <v>0</v>
      </c>
      <c r="H51" s="1">
        <f>'платные на 2023-2024 год'!H162</f>
        <v>0</v>
      </c>
      <c r="I51" s="1">
        <f>'платные на 2023-2024 год'!I162</f>
        <v>0</v>
      </c>
    </row>
    <row r="52" spans="1:9" ht="54" x14ac:dyDescent="0.3">
      <c r="A52" s="235" t="s">
        <v>38</v>
      </c>
      <c r="B52" s="231">
        <v>244</v>
      </c>
      <c r="C52" s="231">
        <v>342</v>
      </c>
      <c r="D52" s="3">
        <f t="shared" si="4"/>
        <v>0</v>
      </c>
      <c r="E52" s="1">
        <f>'платные на 2023-2024 год'!E163</f>
        <v>0</v>
      </c>
      <c r="F52" s="1">
        <f>'платные на 2023-2024 год'!F163</f>
        <v>0</v>
      </c>
      <c r="G52" s="3">
        <f t="shared" si="5"/>
        <v>0</v>
      </c>
      <c r="H52" s="1">
        <f>'платные на 2023-2024 год'!H163</f>
        <v>0</v>
      </c>
      <c r="I52" s="1">
        <f>'платные на 2023-2024 год'!I163</f>
        <v>0</v>
      </c>
    </row>
    <row r="53" spans="1:9" ht="72" x14ac:dyDescent="0.3">
      <c r="A53" s="235" t="s">
        <v>39</v>
      </c>
      <c r="B53" s="231">
        <v>244</v>
      </c>
      <c r="C53" s="231">
        <v>343</v>
      </c>
      <c r="D53" s="3">
        <f t="shared" si="4"/>
        <v>0</v>
      </c>
      <c r="E53" s="1">
        <f>'платные на 2023-2024 год'!E164</f>
        <v>0</v>
      </c>
      <c r="F53" s="1">
        <f>'платные на 2023-2024 год'!F164</f>
        <v>0</v>
      </c>
      <c r="G53" s="3">
        <f t="shared" si="5"/>
        <v>0</v>
      </c>
      <c r="H53" s="1">
        <f>'платные на 2023-2024 год'!H164</f>
        <v>0</v>
      </c>
      <c r="I53" s="1">
        <f>'платные на 2023-2024 год'!I164</f>
        <v>0</v>
      </c>
    </row>
    <row r="54" spans="1:9" ht="72" x14ac:dyDescent="0.3">
      <c r="A54" s="235" t="s">
        <v>40</v>
      </c>
      <c r="B54" s="231">
        <v>244</v>
      </c>
      <c r="C54" s="231">
        <v>344</v>
      </c>
      <c r="D54" s="3">
        <f t="shared" si="4"/>
        <v>0</v>
      </c>
      <c r="E54" s="1">
        <f>'платные на 2023-2024 год'!E165</f>
        <v>0</v>
      </c>
      <c r="F54" s="1">
        <f>'платные на 2023-2024 год'!F165</f>
        <v>0</v>
      </c>
      <c r="G54" s="3">
        <f t="shared" si="5"/>
        <v>0</v>
      </c>
      <c r="H54" s="1">
        <f>'платные на 2023-2024 год'!H165</f>
        <v>0</v>
      </c>
      <c r="I54" s="1">
        <f>'платные на 2023-2024 год'!I165</f>
        <v>0</v>
      </c>
    </row>
    <row r="55" spans="1:9" ht="54" x14ac:dyDescent="0.3">
      <c r="A55" s="235" t="s">
        <v>41</v>
      </c>
      <c r="B55" s="231">
        <v>244</v>
      </c>
      <c r="C55" s="231">
        <v>345</v>
      </c>
      <c r="D55" s="3">
        <f t="shared" si="4"/>
        <v>0</v>
      </c>
      <c r="E55" s="1">
        <f>'платные на 2023-2024 год'!E166</f>
        <v>0</v>
      </c>
      <c r="F55" s="1">
        <f>'платные на 2023-2024 год'!F166</f>
        <v>0</v>
      </c>
      <c r="G55" s="3">
        <f t="shared" si="5"/>
        <v>0</v>
      </c>
      <c r="H55" s="1">
        <f>'платные на 2023-2024 год'!H166</f>
        <v>0</v>
      </c>
      <c r="I55" s="1">
        <f>'платные на 2023-2024 год'!I166</f>
        <v>0</v>
      </c>
    </row>
    <row r="56" spans="1:9" ht="72" x14ac:dyDescent="0.3">
      <c r="A56" s="235" t="s">
        <v>42</v>
      </c>
      <c r="B56" s="231">
        <v>244</v>
      </c>
      <c r="C56" s="231">
        <v>346</v>
      </c>
      <c r="D56" s="3">
        <f t="shared" si="4"/>
        <v>0</v>
      </c>
      <c r="E56" s="1">
        <f>'платные на 2023-2024 год'!E167</f>
        <v>0</v>
      </c>
      <c r="F56" s="1">
        <f>'платные на 2023-2024 год'!F167</f>
        <v>0</v>
      </c>
      <c r="G56" s="3">
        <f t="shared" si="5"/>
        <v>0</v>
      </c>
      <c r="H56" s="1">
        <f>'платные на 2023-2024 год'!H167</f>
        <v>0</v>
      </c>
      <c r="I56" s="1">
        <f>'платные на 2023-2024 год'!I167</f>
        <v>0</v>
      </c>
    </row>
    <row r="57" spans="1:9" ht="108" x14ac:dyDescent="0.3">
      <c r="A57" s="332" t="s">
        <v>446</v>
      </c>
      <c r="B57" s="262">
        <v>244</v>
      </c>
      <c r="C57" s="262">
        <v>347</v>
      </c>
      <c r="D57" s="3">
        <v>0</v>
      </c>
      <c r="E57" s="1">
        <v>0</v>
      </c>
      <c r="F57" s="1">
        <v>0</v>
      </c>
      <c r="G57" s="3">
        <v>0</v>
      </c>
      <c r="H57" s="1">
        <v>0</v>
      </c>
      <c r="I57" s="1">
        <v>0</v>
      </c>
    </row>
    <row r="58" spans="1:9" ht="108" x14ac:dyDescent="0.3">
      <c r="A58" s="235" t="s">
        <v>43</v>
      </c>
      <c r="B58" s="231">
        <v>244</v>
      </c>
      <c r="C58" s="231">
        <v>349</v>
      </c>
      <c r="D58" s="3">
        <f t="shared" si="4"/>
        <v>0</v>
      </c>
      <c r="E58" s="1">
        <f>'платные на 2023-2024 год'!E168</f>
        <v>0</v>
      </c>
      <c r="F58" s="1">
        <f>'платные на 2023-2024 год'!F168</f>
        <v>0</v>
      </c>
      <c r="G58" s="3">
        <f t="shared" si="5"/>
        <v>0</v>
      </c>
      <c r="H58" s="1">
        <f>'платные на 2023-2024 год'!H168</f>
        <v>0</v>
      </c>
      <c r="I58" s="1">
        <f>'платные на 2023-2024 год'!I168</f>
        <v>0</v>
      </c>
    </row>
    <row r="59" spans="1:9" ht="23.25" customHeight="1" x14ac:dyDescent="0.3">
      <c r="A59" s="403" t="s">
        <v>201</v>
      </c>
      <c r="B59" s="403"/>
      <c r="C59" s="403"/>
      <c r="D59" s="403"/>
      <c r="E59" s="403"/>
      <c r="F59" s="403"/>
      <c r="G59" s="403"/>
      <c r="H59" s="403"/>
      <c r="I59" s="403"/>
    </row>
    <row r="60" spans="1:9" x14ac:dyDescent="0.3">
      <c r="A60" s="235" t="s">
        <v>8</v>
      </c>
      <c r="B60" s="231" t="s">
        <v>5</v>
      </c>
      <c r="C60" s="231">
        <v>200</v>
      </c>
      <c r="D60" s="3">
        <f>E60+F60</f>
        <v>7721057</v>
      </c>
      <c r="E60" s="1">
        <f>E62+E65+E88</f>
        <v>0</v>
      </c>
      <c r="F60" s="1">
        <f>F62+F65+F88</f>
        <v>7721057</v>
      </c>
      <c r="G60" s="3">
        <f>H60+I60</f>
        <v>7721057</v>
      </c>
      <c r="H60" s="1">
        <f>H62+H65+H88</f>
        <v>0</v>
      </c>
      <c r="I60" s="1">
        <f>I62+I65+I88</f>
        <v>7721057</v>
      </c>
    </row>
    <row r="61" spans="1:9" x14ac:dyDescent="0.3">
      <c r="A61" s="235" t="s">
        <v>9</v>
      </c>
      <c r="B61" s="231"/>
      <c r="C61" s="231"/>
      <c r="D61" s="3"/>
      <c r="E61" s="1"/>
      <c r="F61" s="1"/>
      <c r="G61" s="3"/>
      <c r="H61" s="1"/>
      <c r="I61" s="1"/>
    </row>
    <row r="62" spans="1:9" ht="72" x14ac:dyDescent="0.3">
      <c r="A62" s="235" t="s">
        <v>10</v>
      </c>
      <c r="B62" s="231" t="s">
        <v>5</v>
      </c>
      <c r="C62" s="231">
        <v>210</v>
      </c>
      <c r="D62" s="3">
        <f>E62+F62</f>
        <v>0</v>
      </c>
      <c r="E62" s="1">
        <f>E64</f>
        <v>0</v>
      </c>
      <c r="F62" s="1">
        <f>F64</f>
        <v>0</v>
      </c>
      <c r="G62" s="3">
        <f>H62+I62</f>
        <v>0</v>
      </c>
      <c r="H62" s="1">
        <f>H64</f>
        <v>0</v>
      </c>
      <c r="I62" s="1">
        <f>I64</f>
        <v>0</v>
      </c>
    </row>
    <row r="63" spans="1:9" x14ac:dyDescent="0.3">
      <c r="A63" s="235" t="s">
        <v>9</v>
      </c>
      <c r="B63" s="231"/>
      <c r="C63" s="231"/>
      <c r="D63" s="3"/>
      <c r="E63" s="1"/>
      <c r="F63" s="1"/>
      <c r="G63" s="3"/>
      <c r="H63" s="1"/>
      <c r="I63" s="1"/>
    </row>
    <row r="64" spans="1:9" ht="72" x14ac:dyDescent="0.3">
      <c r="A64" s="235" t="s">
        <v>200</v>
      </c>
      <c r="B64" s="231">
        <v>244</v>
      </c>
      <c r="C64" s="231">
        <v>214</v>
      </c>
      <c r="D64" s="3">
        <f>E64+F64</f>
        <v>0</v>
      </c>
      <c r="E64" s="1">
        <f>'платные на 2023-2024 год'!E174</f>
        <v>0</v>
      </c>
      <c r="F64" s="1">
        <f>'платные на 2023-2024 год'!F174</f>
        <v>0</v>
      </c>
      <c r="G64" s="3">
        <f>H64+I64</f>
        <v>0</v>
      </c>
      <c r="H64" s="1">
        <f>'платные на 2023-2024 год'!H174</f>
        <v>0</v>
      </c>
      <c r="I64" s="1">
        <f>'платные на 2023-2024 год'!I174</f>
        <v>0</v>
      </c>
    </row>
    <row r="65" spans="1:9" ht="36" x14ac:dyDescent="0.3">
      <c r="A65" s="235" t="s">
        <v>14</v>
      </c>
      <c r="B65" s="231" t="s">
        <v>5</v>
      </c>
      <c r="C65" s="231">
        <v>220</v>
      </c>
      <c r="D65" s="3">
        <f>E65+F65</f>
        <v>7721057</v>
      </c>
      <c r="E65" s="1">
        <f>E67+E68+E69+E79+E80+E83+E86</f>
        <v>0</v>
      </c>
      <c r="F65" s="1">
        <f>F67+F68+F69+F79+F80+F83+F86</f>
        <v>7721057</v>
      </c>
      <c r="G65" s="3">
        <f>H65+I65</f>
        <v>7721057</v>
      </c>
      <c r="H65" s="1">
        <f>H67+H68+H69+H79+H80+H83+H86</f>
        <v>0</v>
      </c>
      <c r="I65" s="1">
        <f>I67+I68+I69+I79+I80+I83+I86</f>
        <v>7721057</v>
      </c>
    </row>
    <row r="66" spans="1:9" x14ac:dyDescent="0.3">
      <c r="A66" s="235" t="s">
        <v>9</v>
      </c>
      <c r="B66" s="231"/>
      <c r="C66" s="231"/>
      <c r="D66" s="3"/>
      <c r="E66" s="1"/>
      <c r="F66" s="1"/>
      <c r="G66" s="3"/>
      <c r="H66" s="1"/>
      <c r="I66" s="1"/>
    </row>
    <row r="67" spans="1:9" x14ac:dyDescent="0.3">
      <c r="A67" s="235" t="s">
        <v>15</v>
      </c>
      <c r="B67" s="231">
        <v>244</v>
      </c>
      <c r="C67" s="231">
        <v>221</v>
      </c>
      <c r="D67" s="3">
        <f>E67+F67</f>
        <v>290000</v>
      </c>
      <c r="E67" s="1">
        <f>'платные на 2023-2024 год'!F177</f>
        <v>0</v>
      </c>
      <c r="F67" s="1">
        <f>'платные на 2023-2024 год'!E177</f>
        <v>290000</v>
      </c>
      <c r="G67" s="3">
        <f>H67+I67</f>
        <v>290000</v>
      </c>
      <c r="H67" s="1">
        <f>'платные на 2023-2024 год'!I177</f>
        <v>0</v>
      </c>
      <c r="I67" s="1">
        <f>'платные на 2023-2024 год'!H177</f>
        <v>290000</v>
      </c>
    </row>
    <row r="68" spans="1:9" ht="36" x14ac:dyDescent="0.3">
      <c r="A68" s="235" t="s">
        <v>16</v>
      </c>
      <c r="B68" s="231">
        <v>244</v>
      </c>
      <c r="C68" s="231">
        <v>222</v>
      </c>
      <c r="D68" s="3">
        <f>E68+F68</f>
        <v>400000</v>
      </c>
      <c r="E68" s="1">
        <f>'платные на 2023-2024 год'!F178</f>
        <v>0</v>
      </c>
      <c r="F68" s="1">
        <f>'платные на 2023-2024 год'!E178</f>
        <v>400000</v>
      </c>
      <c r="G68" s="3">
        <f>H68+I68</f>
        <v>400000</v>
      </c>
      <c r="H68" s="1">
        <f>'платные на 2023-2024 год'!I178</f>
        <v>0</v>
      </c>
      <c r="I68" s="1">
        <f>'платные на 2023-2024 год'!H178</f>
        <v>400000</v>
      </c>
    </row>
    <row r="69" spans="1:9" ht="36" x14ac:dyDescent="0.3">
      <c r="A69" s="235" t="s">
        <v>17</v>
      </c>
      <c r="B69" s="231" t="s">
        <v>5</v>
      </c>
      <c r="C69" s="231">
        <v>223</v>
      </c>
      <c r="D69" s="3">
        <f>E69+F69</f>
        <v>400000</v>
      </c>
      <c r="E69" s="1">
        <f>E74+E75+E76+E77+E78</f>
        <v>0</v>
      </c>
      <c r="F69" s="1">
        <f>F74+F75+F76+F77+F78</f>
        <v>400000</v>
      </c>
      <c r="G69" s="3">
        <f>H69+I69</f>
        <v>400000</v>
      </c>
      <c r="H69" s="1">
        <f>H74+H75+H76+H77+H78</f>
        <v>0</v>
      </c>
      <c r="I69" s="1">
        <f>I74+I75+I76+I77+I78</f>
        <v>400000</v>
      </c>
    </row>
    <row r="70" spans="1:9" x14ac:dyDescent="0.3">
      <c r="A70" s="235" t="s">
        <v>6</v>
      </c>
      <c r="B70" s="231"/>
      <c r="C70" s="231"/>
      <c r="D70" s="3"/>
      <c r="E70" s="1"/>
      <c r="F70" s="1"/>
      <c r="G70" s="3"/>
      <c r="H70" s="1"/>
      <c r="I70" s="1"/>
    </row>
    <row r="71" spans="1:9" ht="54" x14ac:dyDescent="0.3">
      <c r="A71" s="332" t="s">
        <v>18</v>
      </c>
      <c r="B71" s="262">
        <v>244</v>
      </c>
      <c r="C71" s="262">
        <v>223</v>
      </c>
      <c r="D71" s="3"/>
      <c r="E71" s="1"/>
      <c r="F71" s="1"/>
      <c r="G71" s="3"/>
      <c r="H71" s="1"/>
      <c r="I71" s="1"/>
    </row>
    <row r="72" spans="1:9" ht="36" x14ac:dyDescent="0.3">
      <c r="A72" s="336" t="s">
        <v>19</v>
      </c>
      <c r="B72" s="317">
        <v>244</v>
      </c>
      <c r="C72" s="317">
        <v>223</v>
      </c>
      <c r="D72" s="3"/>
      <c r="E72" s="1"/>
      <c r="F72" s="1"/>
      <c r="G72" s="3"/>
      <c r="H72" s="1"/>
      <c r="I72" s="1"/>
    </row>
    <row r="73" spans="1:9" ht="56.25" customHeight="1" x14ac:dyDescent="0.3">
      <c r="A73" s="336" t="s">
        <v>20</v>
      </c>
      <c r="B73" s="317">
        <v>244</v>
      </c>
      <c r="C73" s="317">
        <v>223</v>
      </c>
      <c r="D73" s="3"/>
      <c r="E73" s="1"/>
      <c r="F73" s="1"/>
      <c r="G73" s="3"/>
      <c r="H73" s="1"/>
      <c r="I73" s="1"/>
    </row>
    <row r="74" spans="1:9" ht="54" x14ac:dyDescent="0.3">
      <c r="A74" s="235" t="s">
        <v>18</v>
      </c>
      <c r="B74" s="231">
        <v>247</v>
      </c>
      <c r="C74" s="231">
        <v>223</v>
      </c>
      <c r="D74" s="3">
        <f t="shared" ref="D74:D79" si="6">E74+F74</f>
        <v>100000</v>
      </c>
      <c r="E74" s="1">
        <f>'платные на 2023-2024 год'!F181</f>
        <v>0</v>
      </c>
      <c r="F74" s="1">
        <f>'платные на 2023-2024 год'!E181</f>
        <v>100000</v>
      </c>
      <c r="G74" s="3">
        <f t="shared" ref="G74:G79" si="7">H74+I74</f>
        <v>100000</v>
      </c>
      <c r="H74" s="1">
        <f>'платные на 2023-2024 год'!I181</f>
        <v>0</v>
      </c>
      <c r="I74" s="1">
        <f>'платные на 2023-2024 год'!H181</f>
        <v>100000</v>
      </c>
    </row>
    <row r="75" spans="1:9" ht="36" x14ac:dyDescent="0.3">
      <c r="A75" s="235" t="s">
        <v>19</v>
      </c>
      <c r="B75" s="231">
        <v>247</v>
      </c>
      <c r="C75" s="231">
        <v>223</v>
      </c>
      <c r="D75" s="3">
        <f t="shared" si="6"/>
        <v>0</v>
      </c>
      <c r="E75" s="1">
        <f>'платные на 2023-2024 год'!E182</f>
        <v>0</v>
      </c>
      <c r="F75" s="1">
        <f>'платные на 2023-2024 год'!F182</f>
        <v>0</v>
      </c>
      <c r="G75" s="3">
        <f t="shared" si="7"/>
        <v>0</v>
      </c>
      <c r="H75" s="1">
        <f>'платные на 2023-2024 год'!H182</f>
        <v>0</v>
      </c>
      <c r="I75" s="1">
        <f>'платные на 2023-2024 год'!I182</f>
        <v>0</v>
      </c>
    </row>
    <row r="76" spans="1:9" ht="53.25" customHeight="1" x14ac:dyDescent="0.3">
      <c r="A76" s="235" t="s">
        <v>20</v>
      </c>
      <c r="B76" s="231">
        <v>247</v>
      </c>
      <c r="C76" s="231">
        <v>223</v>
      </c>
      <c r="D76" s="3">
        <f t="shared" si="6"/>
        <v>100000</v>
      </c>
      <c r="E76" s="1">
        <f>'платные на 2023-2024 год'!F183</f>
        <v>0</v>
      </c>
      <c r="F76" s="1">
        <f>'платные на 2023-2024 год'!E183</f>
        <v>100000</v>
      </c>
      <c r="G76" s="3">
        <f t="shared" si="7"/>
        <v>100000</v>
      </c>
      <c r="H76" s="1">
        <f>'платные на 2023-2024 год'!I183</f>
        <v>0</v>
      </c>
      <c r="I76" s="1">
        <f>'платные на 2023-2024 год'!H183</f>
        <v>100000</v>
      </c>
    </row>
    <row r="77" spans="1:9" ht="72" x14ac:dyDescent="0.3">
      <c r="A77" s="235" t="s">
        <v>21</v>
      </c>
      <c r="B77" s="231">
        <v>244</v>
      </c>
      <c r="C77" s="231">
        <v>223</v>
      </c>
      <c r="D77" s="3">
        <f t="shared" si="6"/>
        <v>100000</v>
      </c>
      <c r="E77" s="1">
        <f>'платные на 2023-2024 год'!F184</f>
        <v>0</v>
      </c>
      <c r="F77" s="1">
        <f>'платные на 2023-2024 год'!E184</f>
        <v>100000</v>
      </c>
      <c r="G77" s="3">
        <f t="shared" si="7"/>
        <v>100000</v>
      </c>
      <c r="H77" s="1">
        <f>'платные на 2023-2024 год'!I184</f>
        <v>0</v>
      </c>
      <c r="I77" s="1">
        <f>'платные на 2023-2024 год'!H184</f>
        <v>100000</v>
      </c>
    </row>
    <row r="78" spans="1:9" ht="54" x14ac:dyDescent="0.3">
      <c r="A78" s="235" t="s">
        <v>22</v>
      </c>
      <c r="B78" s="231">
        <v>244</v>
      </c>
      <c r="C78" s="231">
        <v>223</v>
      </c>
      <c r="D78" s="3">
        <f t="shared" si="6"/>
        <v>100000</v>
      </c>
      <c r="E78" s="1">
        <f>'платные на 2023-2024 год'!F185</f>
        <v>0</v>
      </c>
      <c r="F78" s="1">
        <f>'платные на 2023-2024 год'!E185</f>
        <v>100000</v>
      </c>
      <c r="G78" s="3">
        <f t="shared" si="7"/>
        <v>100000</v>
      </c>
      <c r="H78" s="1">
        <v>0</v>
      </c>
      <c r="I78" s="1">
        <f>'платные на 2023-2024 год'!H185</f>
        <v>100000</v>
      </c>
    </row>
    <row r="79" spans="1:9" ht="159" customHeight="1" x14ac:dyDescent="0.3">
      <c r="A79" s="235" t="s">
        <v>23</v>
      </c>
      <c r="B79" s="231">
        <v>244</v>
      </c>
      <c r="C79" s="231">
        <v>224</v>
      </c>
      <c r="D79" s="3">
        <f t="shared" si="6"/>
        <v>0</v>
      </c>
      <c r="E79" s="1">
        <f>'платные на 2023-2024 год'!F186</f>
        <v>0</v>
      </c>
      <c r="F79" s="1">
        <f>'платные на 2023-2024 год'!E186</f>
        <v>0</v>
      </c>
      <c r="G79" s="3">
        <f t="shared" si="7"/>
        <v>0</v>
      </c>
      <c r="H79" s="1">
        <f>'платные на 2023-2024 год'!H186</f>
        <v>0</v>
      </c>
      <c r="I79" s="1">
        <f>'платные на 2023-2024 год'!I186</f>
        <v>0</v>
      </c>
    </row>
    <row r="80" spans="1:9" ht="54" x14ac:dyDescent="0.3">
      <c r="A80" s="235" t="s">
        <v>24</v>
      </c>
      <c r="B80" s="231" t="s">
        <v>5</v>
      </c>
      <c r="C80" s="231">
        <v>225</v>
      </c>
      <c r="D80" s="1">
        <f t="shared" ref="D80:I80" si="8">D81+D82</f>
        <v>2000000</v>
      </c>
      <c r="E80" s="1">
        <f t="shared" si="8"/>
        <v>0</v>
      </c>
      <c r="F80" s="1">
        <f t="shared" si="8"/>
        <v>2000000</v>
      </c>
      <c r="G80" s="1">
        <f t="shared" si="8"/>
        <v>2000000</v>
      </c>
      <c r="H80" s="1">
        <f t="shared" si="8"/>
        <v>0</v>
      </c>
      <c r="I80" s="1">
        <f t="shared" si="8"/>
        <v>2000000</v>
      </c>
    </row>
    <row r="81" spans="1:9" x14ac:dyDescent="0.3">
      <c r="A81" s="590" t="s">
        <v>6</v>
      </c>
      <c r="B81" s="231">
        <v>243</v>
      </c>
      <c r="C81" s="231">
        <v>225</v>
      </c>
      <c r="D81" s="3">
        <f t="shared" ref="D81:D92" si="9">E81+F81</f>
        <v>0</v>
      </c>
      <c r="E81" s="1">
        <f>'платные на 2023-2024 год'!E188</f>
        <v>0</v>
      </c>
      <c r="F81" s="1">
        <f>'платные на 2023-2024 год'!F188</f>
        <v>0</v>
      </c>
      <c r="G81" s="3">
        <f t="shared" ref="G81:G92" si="10">H81+I81</f>
        <v>0</v>
      </c>
      <c r="H81" s="1">
        <f>'платные на 2023-2024 год'!H188</f>
        <v>0</v>
      </c>
      <c r="I81" s="1">
        <f>'платные на 2023-2024 год'!I188</f>
        <v>0</v>
      </c>
    </row>
    <row r="82" spans="1:9" x14ac:dyDescent="0.3">
      <c r="A82" s="590"/>
      <c r="B82" s="231">
        <v>244</v>
      </c>
      <c r="C82" s="231">
        <v>225</v>
      </c>
      <c r="D82" s="3">
        <f t="shared" si="9"/>
        <v>2000000</v>
      </c>
      <c r="E82" s="1">
        <f>'платные на 2023-2024 год'!F189</f>
        <v>0</v>
      </c>
      <c r="F82" s="1">
        <f>'платные на 2023-2024 год'!E189</f>
        <v>2000000</v>
      </c>
      <c r="G82" s="3">
        <f t="shared" si="10"/>
        <v>2000000</v>
      </c>
      <c r="H82" s="1">
        <f>'платные на 2023-2024 год'!I189</f>
        <v>0</v>
      </c>
      <c r="I82" s="1">
        <f>'платные на 2023-2024 год'!H189</f>
        <v>2000000</v>
      </c>
    </row>
    <row r="83" spans="1:9" ht="36" x14ac:dyDescent="0.3">
      <c r="A83" s="235" t="s">
        <v>58</v>
      </c>
      <c r="B83" s="231" t="s">
        <v>5</v>
      </c>
      <c r="C83" s="231">
        <v>226</v>
      </c>
      <c r="D83" s="3">
        <f t="shared" si="9"/>
        <v>4621057</v>
      </c>
      <c r="E83" s="1">
        <f>E84+E85</f>
        <v>0</v>
      </c>
      <c r="F83" s="1">
        <f>F84+F85</f>
        <v>4621057</v>
      </c>
      <c r="G83" s="3">
        <f t="shared" si="10"/>
        <v>4621057</v>
      </c>
      <c r="H83" s="1">
        <f>H84+H85</f>
        <v>0</v>
      </c>
      <c r="I83" s="1">
        <f>I84+I85</f>
        <v>4621057</v>
      </c>
    </row>
    <row r="84" spans="1:9" x14ac:dyDescent="0.3">
      <c r="A84" s="590" t="s">
        <v>6</v>
      </c>
      <c r="B84" s="231">
        <v>243</v>
      </c>
      <c r="C84" s="231">
        <v>226</v>
      </c>
      <c r="D84" s="3">
        <f t="shared" si="9"/>
        <v>0</v>
      </c>
      <c r="E84" s="1">
        <f>'платные на 2023-2024 год'!E191</f>
        <v>0</v>
      </c>
      <c r="F84" s="1">
        <f>'платные на 2023-2024 год'!F191</f>
        <v>0</v>
      </c>
      <c r="G84" s="3">
        <f t="shared" si="10"/>
        <v>0</v>
      </c>
      <c r="H84" s="1">
        <f>'платные на 2023-2024 год'!H191</f>
        <v>0</v>
      </c>
      <c r="I84" s="1">
        <f>'платные на 2023-2024 год'!I191</f>
        <v>0</v>
      </c>
    </row>
    <row r="85" spans="1:9" ht="32.25" customHeight="1" x14ac:dyDescent="0.3">
      <c r="A85" s="590"/>
      <c r="B85" s="231">
        <v>244</v>
      </c>
      <c r="C85" s="231">
        <v>226</v>
      </c>
      <c r="D85" s="3">
        <f t="shared" si="9"/>
        <v>4621057</v>
      </c>
      <c r="E85" s="1">
        <f>'платные на 2023-2024 год'!F192</f>
        <v>0</v>
      </c>
      <c r="F85" s="1">
        <f>'платные на 2023-2024 год'!E192</f>
        <v>4621057</v>
      </c>
      <c r="G85" s="3">
        <f t="shared" si="10"/>
        <v>4621057</v>
      </c>
      <c r="H85" s="1">
        <f>'платные на 2023-2024 год'!I192</f>
        <v>0</v>
      </c>
      <c r="I85" s="1">
        <f>'платные на 2023-2024 год'!H192</f>
        <v>4621057</v>
      </c>
    </row>
    <row r="86" spans="1:9" x14ac:dyDescent="0.3">
      <c r="A86" s="235" t="s">
        <v>25</v>
      </c>
      <c r="B86" s="231">
        <v>244</v>
      </c>
      <c r="C86" s="231">
        <v>227</v>
      </c>
      <c r="D86" s="3">
        <f t="shared" si="9"/>
        <v>10000</v>
      </c>
      <c r="E86" s="1">
        <f>'платные на 2023-2024 год'!F193</f>
        <v>0</v>
      </c>
      <c r="F86" s="1">
        <f>'платные на 2023-2024 год'!E193</f>
        <v>10000</v>
      </c>
      <c r="G86" s="3">
        <f t="shared" si="10"/>
        <v>10000</v>
      </c>
      <c r="H86" s="1">
        <f>'платные на 2023-2024 год'!I193</f>
        <v>0</v>
      </c>
      <c r="I86" s="1">
        <f>'платные на 2023-2024 год'!H193</f>
        <v>10000</v>
      </c>
    </row>
    <row r="87" spans="1:9" ht="54" x14ac:dyDescent="0.3">
      <c r="A87" s="332" t="s">
        <v>445</v>
      </c>
      <c r="B87" s="262">
        <v>244</v>
      </c>
      <c r="C87" s="262">
        <v>228</v>
      </c>
      <c r="D87" s="3">
        <v>0</v>
      </c>
      <c r="E87" s="1">
        <v>0</v>
      </c>
      <c r="F87" s="1">
        <v>0</v>
      </c>
      <c r="G87" s="3">
        <v>0</v>
      </c>
      <c r="H87" s="1">
        <v>0</v>
      </c>
      <c r="I87" s="1">
        <v>0</v>
      </c>
    </row>
    <row r="88" spans="1:9" x14ac:dyDescent="0.3">
      <c r="A88" s="235" t="s">
        <v>30</v>
      </c>
      <c r="B88" s="231" t="s">
        <v>5</v>
      </c>
      <c r="C88" s="231">
        <v>290</v>
      </c>
      <c r="D88" s="3">
        <f t="shared" si="9"/>
        <v>0</v>
      </c>
      <c r="E88" s="1">
        <f>E90+E91</f>
        <v>0</v>
      </c>
      <c r="F88" s="1">
        <f>F90+F91</f>
        <v>0</v>
      </c>
      <c r="G88" s="3">
        <f t="shared" si="10"/>
        <v>0</v>
      </c>
      <c r="H88" s="1">
        <f>H90+H91</f>
        <v>0</v>
      </c>
      <c r="I88" s="1">
        <f>I90+I91</f>
        <v>0</v>
      </c>
    </row>
    <row r="89" spans="1:9" x14ac:dyDescent="0.3">
      <c r="A89" s="235" t="s">
        <v>9</v>
      </c>
      <c r="B89" s="231"/>
      <c r="C89" s="231"/>
      <c r="D89" s="3">
        <f t="shared" si="9"/>
        <v>0</v>
      </c>
      <c r="E89" s="1"/>
      <c r="F89" s="1"/>
      <c r="G89" s="3">
        <f t="shared" si="10"/>
        <v>0</v>
      </c>
      <c r="H89" s="1"/>
      <c r="I89" s="1"/>
    </row>
    <row r="90" spans="1:9" ht="54" x14ac:dyDescent="0.3">
      <c r="A90" s="235" t="s">
        <v>34</v>
      </c>
      <c r="B90" s="231">
        <v>244</v>
      </c>
      <c r="C90" s="231">
        <v>296</v>
      </c>
      <c r="D90" s="3">
        <f t="shared" si="9"/>
        <v>0</v>
      </c>
      <c r="E90" s="1">
        <f>'платные на 2023-2024 год'!E196</f>
        <v>0</v>
      </c>
      <c r="F90" s="1">
        <f>'платные на 2023-2024 год'!E196</f>
        <v>0</v>
      </c>
      <c r="G90" s="3">
        <f t="shared" si="10"/>
        <v>0</v>
      </c>
      <c r="H90" s="1">
        <f>'платные на 2023-2024 год'!H196</f>
        <v>0</v>
      </c>
      <c r="I90" s="1">
        <f>'платные на 2023-2024 год'!I196</f>
        <v>0</v>
      </c>
    </row>
    <row r="91" spans="1:9" ht="54" x14ac:dyDescent="0.3">
      <c r="A91" s="235" t="s">
        <v>35</v>
      </c>
      <c r="B91" s="231">
        <v>244</v>
      </c>
      <c r="C91" s="231">
        <v>297</v>
      </c>
      <c r="D91" s="3">
        <f t="shared" si="9"/>
        <v>0</v>
      </c>
      <c r="E91" s="1">
        <f>'платные на 2023-2024 год'!E197</f>
        <v>0</v>
      </c>
      <c r="F91" s="1">
        <f>'платные на 2023-2024 год'!E197</f>
        <v>0</v>
      </c>
      <c r="G91" s="3">
        <f t="shared" si="10"/>
        <v>0</v>
      </c>
      <c r="H91" s="1">
        <f>'платные на 2023-2024 год'!H197</f>
        <v>0</v>
      </c>
      <c r="I91" s="1">
        <f>'платные на 2023-2024 год'!I197</f>
        <v>0</v>
      </c>
    </row>
    <row r="92" spans="1:9" ht="54" x14ac:dyDescent="0.3">
      <c r="A92" s="235" t="s">
        <v>59</v>
      </c>
      <c r="B92" s="231" t="s">
        <v>5</v>
      </c>
      <c r="C92" s="231">
        <v>300</v>
      </c>
      <c r="D92" s="3">
        <f t="shared" si="9"/>
        <v>5040000</v>
      </c>
      <c r="E92" s="1">
        <f>E94+E96+E95</f>
        <v>0</v>
      </c>
      <c r="F92" s="1">
        <f>F94+F96+F95</f>
        <v>5040000</v>
      </c>
      <c r="G92" s="3">
        <f t="shared" si="10"/>
        <v>5040000</v>
      </c>
      <c r="H92" s="1">
        <f>H94+H96+H95</f>
        <v>0</v>
      </c>
      <c r="I92" s="1">
        <f>I94+I96+I95</f>
        <v>5040000</v>
      </c>
    </row>
    <row r="93" spans="1:9" x14ac:dyDescent="0.3">
      <c r="A93" s="235" t="s">
        <v>9</v>
      </c>
      <c r="B93" s="231"/>
      <c r="C93" s="231"/>
      <c r="D93" s="3"/>
      <c r="E93" s="1"/>
      <c r="F93" s="1"/>
      <c r="G93" s="3"/>
      <c r="H93" s="1"/>
      <c r="I93" s="1"/>
    </row>
    <row r="94" spans="1:9" ht="57" customHeight="1" x14ac:dyDescent="0.3">
      <c r="A94" s="235" t="s">
        <v>36</v>
      </c>
      <c r="B94" s="231">
        <v>244</v>
      </c>
      <c r="C94" s="231">
        <v>310</v>
      </c>
      <c r="D94" s="3">
        <f>E94+F94</f>
        <v>1500000</v>
      </c>
      <c r="E94" s="1">
        <f>'платные на 2023-2024 год'!F200</f>
        <v>0</v>
      </c>
      <c r="F94" s="1">
        <f>'платные на 2023-2024 год'!E200</f>
        <v>1500000</v>
      </c>
      <c r="G94" s="3">
        <f>H94+I94</f>
        <v>1500000</v>
      </c>
      <c r="H94" s="1">
        <f>'платные на 2023-2024 год'!I200</f>
        <v>0</v>
      </c>
      <c r="I94" s="1">
        <f>'платные на 2023-2024 год'!H200</f>
        <v>1500000</v>
      </c>
    </row>
    <row r="95" spans="1:9" ht="76.2" customHeight="1" x14ac:dyDescent="0.3">
      <c r="A95" s="235" t="s">
        <v>68</v>
      </c>
      <c r="B95" s="231">
        <v>244</v>
      </c>
      <c r="C95" s="231">
        <v>320</v>
      </c>
      <c r="D95" s="3">
        <f>E95+F95</f>
        <v>0</v>
      </c>
      <c r="E95" s="1">
        <f>'платные на 2023-2024 год'!F201</f>
        <v>0</v>
      </c>
      <c r="F95" s="1">
        <f>'платные на 2023-2024 год'!E201</f>
        <v>0</v>
      </c>
      <c r="G95" s="3">
        <f>H95+I95</f>
        <v>0</v>
      </c>
      <c r="H95" s="1">
        <f>'платные на 2023-2024 год'!H201</f>
        <v>0</v>
      </c>
      <c r="I95" s="1">
        <f>'платные на 2023-2024 год'!I201</f>
        <v>0</v>
      </c>
    </row>
    <row r="96" spans="1:9" ht="76.2" customHeight="1" x14ac:dyDescent="0.3">
      <c r="A96" s="235" t="s">
        <v>60</v>
      </c>
      <c r="B96" s="231" t="s">
        <v>5</v>
      </c>
      <c r="C96" s="231">
        <v>340</v>
      </c>
      <c r="D96" s="3">
        <f>E96+F96</f>
        <v>3540000</v>
      </c>
      <c r="E96" s="1">
        <f>E98+E99+E100+E101+E102+E103+E105</f>
        <v>0</v>
      </c>
      <c r="F96" s="1">
        <f>F98+F99+F100+F101+F102+F103+F105</f>
        <v>3540000</v>
      </c>
      <c r="G96" s="3">
        <f>H96+I96</f>
        <v>3540000</v>
      </c>
      <c r="H96" s="1">
        <f>H98+H99+H100+H101+H102+H103+H105</f>
        <v>0</v>
      </c>
      <c r="I96" s="1">
        <f>I98+I99+I100+I101+I102+I103+I105</f>
        <v>3540000</v>
      </c>
    </row>
    <row r="97" spans="1:9" x14ac:dyDescent="0.3">
      <c r="A97" s="235" t="s">
        <v>6</v>
      </c>
      <c r="B97" s="231"/>
      <c r="C97" s="231"/>
      <c r="D97" s="3"/>
      <c r="E97" s="1"/>
      <c r="F97" s="1"/>
      <c r="G97" s="3"/>
      <c r="H97" s="1"/>
      <c r="I97" s="1"/>
    </row>
    <row r="98" spans="1:9" ht="123.75" customHeight="1" x14ac:dyDescent="0.3">
      <c r="A98" s="235" t="s">
        <v>37</v>
      </c>
      <c r="B98" s="231">
        <v>244</v>
      </c>
      <c r="C98" s="231">
        <v>341</v>
      </c>
      <c r="D98" s="3">
        <f t="shared" ref="D98:D105" si="11">E98+F98</f>
        <v>0</v>
      </c>
      <c r="E98" s="1">
        <f>'платные на 2023-2024 год'!E204</f>
        <v>0</v>
      </c>
      <c r="F98" s="1">
        <f>'платные на 2023-2024 год'!F204</f>
        <v>0</v>
      </c>
      <c r="G98" s="3">
        <f t="shared" ref="G98:G105" si="12">H98+I98</f>
        <v>0</v>
      </c>
      <c r="H98" s="1">
        <f>'платные на 2023-2024 год'!H204</f>
        <v>0</v>
      </c>
      <c r="I98" s="1">
        <f>'платные на 2023-2024 год'!I204</f>
        <v>0</v>
      </c>
    </row>
    <row r="99" spans="1:9" ht="52.5" customHeight="1" x14ac:dyDescent="0.3">
      <c r="A99" s="235" t="s">
        <v>38</v>
      </c>
      <c r="B99" s="231">
        <v>244</v>
      </c>
      <c r="C99" s="231">
        <v>342</v>
      </c>
      <c r="D99" s="3">
        <f t="shared" si="11"/>
        <v>0</v>
      </c>
      <c r="E99" s="1">
        <f>'платные на 2023-2024 год'!E205</f>
        <v>0</v>
      </c>
      <c r="F99" s="1">
        <f>'платные на 2023-2024 год'!F205</f>
        <v>0</v>
      </c>
      <c r="G99" s="3">
        <f t="shared" si="12"/>
        <v>0</v>
      </c>
      <c r="H99" s="1">
        <f>'платные на 2023-2024 год'!H205</f>
        <v>0</v>
      </c>
      <c r="I99" s="1">
        <f>'платные на 2023-2024 год'!I205</f>
        <v>0</v>
      </c>
    </row>
    <row r="100" spans="1:9" ht="73.95" customHeight="1" x14ac:dyDescent="0.3">
      <c r="A100" s="235" t="s">
        <v>39</v>
      </c>
      <c r="B100" s="231">
        <v>244</v>
      </c>
      <c r="C100" s="231">
        <v>343</v>
      </c>
      <c r="D100" s="3">
        <f t="shared" si="11"/>
        <v>600000</v>
      </c>
      <c r="E100" s="1">
        <f>'платные на 2023-2024 год'!F206</f>
        <v>0</v>
      </c>
      <c r="F100" s="1">
        <f>'платные на 2023-2024 год'!E206</f>
        <v>600000</v>
      </c>
      <c r="G100" s="3">
        <f t="shared" si="12"/>
        <v>600000</v>
      </c>
      <c r="H100" s="1">
        <f>'платные на 2023-2024 год'!I206</f>
        <v>0</v>
      </c>
      <c r="I100" s="1">
        <f>'платные на 2023-2024 год'!H206</f>
        <v>600000</v>
      </c>
    </row>
    <row r="101" spans="1:9" ht="74.25" customHeight="1" x14ac:dyDescent="0.3">
      <c r="A101" s="235" t="s">
        <v>40</v>
      </c>
      <c r="B101" s="231">
        <v>244</v>
      </c>
      <c r="C101" s="231">
        <v>344</v>
      </c>
      <c r="D101" s="3">
        <f t="shared" si="11"/>
        <v>200000</v>
      </c>
      <c r="E101" s="1">
        <f>'платные на 2023-2024 год'!F207</f>
        <v>0</v>
      </c>
      <c r="F101" s="1">
        <f>'платные на 2023-2024 год'!E207</f>
        <v>200000</v>
      </c>
      <c r="G101" s="3">
        <f t="shared" si="12"/>
        <v>200000</v>
      </c>
      <c r="H101" s="1">
        <f>'платные на 2023-2024 год'!I207</f>
        <v>0</v>
      </c>
      <c r="I101" s="1">
        <f>'платные на 2023-2024 год'!H207</f>
        <v>200000</v>
      </c>
    </row>
    <row r="102" spans="1:9" ht="54.75" customHeight="1" x14ac:dyDescent="0.3">
      <c r="A102" s="235" t="s">
        <v>41</v>
      </c>
      <c r="B102" s="231">
        <v>244</v>
      </c>
      <c r="C102" s="231">
        <v>345</v>
      </c>
      <c r="D102" s="3">
        <f t="shared" si="11"/>
        <v>150000</v>
      </c>
      <c r="E102" s="1">
        <f>'платные на 2023-2024 год'!F208</f>
        <v>0</v>
      </c>
      <c r="F102" s="1">
        <f>'платные на 2023-2024 год'!E208</f>
        <v>150000</v>
      </c>
      <c r="G102" s="3">
        <f t="shared" si="12"/>
        <v>150000</v>
      </c>
      <c r="H102" s="1">
        <f>'платные на 2023-2024 год'!I208</f>
        <v>0</v>
      </c>
      <c r="I102" s="1">
        <f>'платные на 2023-2024 год'!H208</f>
        <v>150000</v>
      </c>
    </row>
    <row r="103" spans="1:9" ht="73.5" customHeight="1" x14ac:dyDescent="0.3">
      <c r="A103" s="235" t="s">
        <v>42</v>
      </c>
      <c r="B103" s="231">
        <v>244</v>
      </c>
      <c r="C103" s="231">
        <v>346</v>
      </c>
      <c r="D103" s="3">
        <f t="shared" si="11"/>
        <v>2300000</v>
      </c>
      <c r="E103" s="1">
        <f>'платные на 2023-2024 год'!F209</f>
        <v>0</v>
      </c>
      <c r="F103" s="1">
        <f>'платные на 2023-2024 год'!E209</f>
        <v>2300000</v>
      </c>
      <c r="G103" s="3">
        <f t="shared" si="12"/>
        <v>2300000</v>
      </c>
      <c r="H103" s="1">
        <f>'платные на 2023-2024 год'!I209</f>
        <v>0</v>
      </c>
      <c r="I103" s="1">
        <f>'платные на 2023-2024 год'!H209</f>
        <v>2300000</v>
      </c>
    </row>
    <row r="104" spans="1:9" ht="108" customHeight="1" x14ac:dyDescent="0.3">
      <c r="A104" s="332" t="s">
        <v>446</v>
      </c>
      <c r="B104" s="262">
        <v>244</v>
      </c>
      <c r="C104" s="262">
        <v>347</v>
      </c>
      <c r="D104" s="3">
        <v>0</v>
      </c>
      <c r="E104" s="1">
        <v>0</v>
      </c>
      <c r="F104" s="1">
        <v>0</v>
      </c>
      <c r="G104" s="3">
        <v>0</v>
      </c>
      <c r="H104" s="1">
        <v>0</v>
      </c>
      <c r="I104" s="1">
        <v>0</v>
      </c>
    </row>
    <row r="105" spans="1:9" ht="108.75" customHeight="1" x14ac:dyDescent="0.3">
      <c r="A105" s="235" t="s">
        <v>43</v>
      </c>
      <c r="B105" s="231">
        <v>244</v>
      </c>
      <c r="C105" s="231">
        <v>349</v>
      </c>
      <c r="D105" s="3">
        <f t="shared" si="11"/>
        <v>290000</v>
      </c>
      <c r="E105" s="1">
        <f>'платные на 2023-2024 год'!F210</f>
        <v>0</v>
      </c>
      <c r="F105" s="1">
        <f>'платные на 2023-2024 год'!E210</f>
        <v>290000</v>
      </c>
      <c r="G105" s="3">
        <f t="shared" si="12"/>
        <v>290000</v>
      </c>
      <c r="H105" s="1">
        <f>'платные на 2023-2024 год'!I210</f>
        <v>0</v>
      </c>
      <c r="I105" s="1">
        <f>'платные на 2023-2024 год'!H210</f>
        <v>290000</v>
      </c>
    </row>
    <row r="106" spans="1:9" ht="17.399999999999999" x14ac:dyDescent="0.3">
      <c r="A106" s="337"/>
    </row>
    <row r="107" spans="1:9" x14ac:dyDescent="0.35">
      <c r="A107" s="395" t="s">
        <v>52</v>
      </c>
      <c r="B107" s="395"/>
      <c r="C107" s="400"/>
      <c r="D107" s="400"/>
      <c r="E107" s="400" t="s">
        <v>267</v>
      </c>
      <c r="F107" s="400"/>
    </row>
    <row r="108" spans="1:9" x14ac:dyDescent="0.35">
      <c r="A108" s="338"/>
      <c r="B108" s="174"/>
      <c r="C108" s="173"/>
      <c r="D108" s="173" t="s">
        <v>53</v>
      </c>
      <c r="E108" s="401" t="s">
        <v>54</v>
      </c>
      <c r="F108" s="401"/>
    </row>
    <row r="109" spans="1:9" ht="13.95" customHeight="1" x14ac:dyDescent="0.35">
      <c r="A109" s="338"/>
      <c r="B109" s="176"/>
      <c r="C109" s="8"/>
      <c r="D109" s="8"/>
      <c r="E109" s="8"/>
      <c r="F109" s="8"/>
    </row>
    <row r="110" spans="1:9" x14ac:dyDescent="0.35">
      <c r="A110" s="395" t="s">
        <v>55</v>
      </c>
      <c r="B110" s="395"/>
      <c r="C110" s="400"/>
      <c r="D110" s="400"/>
      <c r="E110" s="400" t="s">
        <v>464</v>
      </c>
      <c r="F110" s="400"/>
    </row>
    <row r="111" spans="1:9" x14ac:dyDescent="0.35">
      <c r="A111" s="338"/>
      <c r="B111" s="174"/>
      <c r="C111" s="173"/>
      <c r="D111" s="173" t="s">
        <v>53</v>
      </c>
      <c r="E111" s="401" t="s">
        <v>54</v>
      </c>
      <c r="F111" s="401"/>
    </row>
    <row r="112" spans="1:9" ht="12" customHeight="1" x14ac:dyDescent="0.35">
      <c r="A112" s="338"/>
      <c r="B112" s="175"/>
      <c r="C112" s="114"/>
      <c r="D112" s="8"/>
      <c r="E112" s="104"/>
      <c r="F112" s="104"/>
    </row>
    <row r="113" spans="1:6" x14ac:dyDescent="0.35">
      <c r="A113" s="338" t="s">
        <v>56</v>
      </c>
      <c r="B113" s="174"/>
      <c r="C113" s="400"/>
      <c r="D113" s="400"/>
      <c r="E113" s="400" t="s">
        <v>268</v>
      </c>
      <c r="F113" s="400"/>
    </row>
    <row r="114" spans="1:6" x14ac:dyDescent="0.35">
      <c r="A114" s="338"/>
      <c r="B114" s="174"/>
      <c r="C114" s="173"/>
      <c r="D114" s="173" t="s">
        <v>53</v>
      </c>
      <c r="E114" s="401" t="s">
        <v>54</v>
      </c>
      <c r="F114" s="401"/>
    </row>
    <row r="115" spans="1:6" x14ac:dyDescent="0.35">
      <c r="A115" s="338" t="s">
        <v>429</v>
      </c>
      <c r="B115" s="8"/>
      <c r="C115" s="8"/>
      <c r="D115" s="8"/>
      <c r="E115" s="8"/>
      <c r="F115" s="8"/>
    </row>
    <row r="116" spans="1:6" x14ac:dyDescent="0.35">
      <c r="A116" s="396" t="s">
        <v>483</v>
      </c>
      <c r="B116" s="396"/>
      <c r="C116" s="8"/>
      <c r="D116" s="8"/>
      <c r="E116" s="8"/>
      <c r="F116" s="8"/>
    </row>
  </sheetData>
  <mergeCells count="29">
    <mergeCell ref="A1:I1"/>
    <mergeCell ref="A2:I2"/>
    <mergeCell ref="A5:A7"/>
    <mergeCell ref="B5:B7"/>
    <mergeCell ref="C5:C7"/>
    <mergeCell ref="D5:D7"/>
    <mergeCell ref="E5:F5"/>
    <mergeCell ref="G5:G7"/>
    <mergeCell ref="H5:I5"/>
    <mergeCell ref="E108:F108"/>
    <mergeCell ref="H6:I6"/>
    <mergeCell ref="E6:F6"/>
    <mergeCell ref="A12:I12"/>
    <mergeCell ref="A34:A35"/>
    <mergeCell ref="A37:A38"/>
    <mergeCell ref="A59:I59"/>
    <mergeCell ref="A81:A82"/>
    <mergeCell ref="A84:A85"/>
    <mergeCell ref="E107:F107"/>
    <mergeCell ref="C107:D107"/>
    <mergeCell ref="A107:B107"/>
    <mergeCell ref="E114:F114"/>
    <mergeCell ref="A116:B116"/>
    <mergeCell ref="E110:F110"/>
    <mergeCell ref="E111:F111"/>
    <mergeCell ref="E113:F113"/>
    <mergeCell ref="C110:D110"/>
    <mergeCell ref="C113:D113"/>
    <mergeCell ref="A110:B110"/>
  </mergeCells>
  <pageMargins left="0.59055118110236227" right="0.39370078740157483" top="1.3779527559055118" bottom="0.39370078740157483" header="0.31496062992125984" footer="0.31496062992125984"/>
  <pageSetup paperSize="9" scale="75" firstPageNumber="12" orientation="landscape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365"/>
  <sheetViews>
    <sheetView view="pageLayout" topLeftCell="A345" zoomScale="90" zoomScaleNormal="100" zoomScalePageLayoutView="90" workbookViewId="0">
      <selection activeCell="C360" sqref="C360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7" width="16.44140625" style="5" customWidth="1"/>
    <col min="8" max="8" width="9.6640625" style="5" customWidth="1"/>
    <col min="9" max="16384" width="8.88671875" style="5"/>
  </cols>
  <sheetData>
    <row r="1" spans="1:7" ht="39" customHeight="1" x14ac:dyDescent="0.3">
      <c r="A1" s="4"/>
      <c r="E1" s="395"/>
      <c r="F1" s="395"/>
      <c r="G1" s="395"/>
    </row>
    <row r="2" spans="1:7" ht="40.200000000000003" customHeight="1" x14ac:dyDescent="0.3">
      <c r="A2" s="432" t="s">
        <v>455</v>
      </c>
      <c r="B2" s="432"/>
      <c r="C2" s="432"/>
      <c r="D2" s="432"/>
      <c r="E2" s="432"/>
      <c r="F2" s="432"/>
      <c r="G2" s="432"/>
    </row>
    <row r="3" spans="1:7" ht="17.399999999999999" x14ac:dyDescent="0.3">
      <c r="A3" s="356"/>
      <c r="B3" s="356"/>
      <c r="C3" s="356"/>
      <c r="D3" s="356"/>
      <c r="E3" s="356"/>
      <c r="F3" s="356"/>
      <c r="G3" s="356"/>
    </row>
    <row r="4" spans="1:7" ht="35.4" customHeight="1" x14ac:dyDescent="0.3">
      <c r="A4" s="432" t="s">
        <v>456</v>
      </c>
      <c r="B4" s="432"/>
      <c r="C4" s="432"/>
      <c r="D4" s="432"/>
      <c r="E4" s="432"/>
      <c r="F4" s="432"/>
      <c r="G4" s="432"/>
    </row>
    <row r="5" spans="1:7" ht="35.4" customHeight="1" x14ac:dyDescent="0.3">
      <c r="A5" s="432" t="s">
        <v>167</v>
      </c>
      <c r="B5" s="432"/>
      <c r="C5" s="432"/>
      <c r="D5" s="432"/>
      <c r="E5" s="432"/>
      <c r="F5" s="432"/>
      <c r="G5" s="432"/>
    </row>
    <row r="6" spans="1:7" ht="17.399999999999999" x14ac:dyDescent="0.3">
      <c r="A6" s="96"/>
    </row>
    <row r="7" spans="1:7" ht="18" x14ac:dyDescent="0.35">
      <c r="A7" s="7" t="s">
        <v>252</v>
      </c>
      <c r="B7" s="8">
        <v>120</v>
      </c>
    </row>
    <row r="8" spans="1:7" ht="15" x14ac:dyDescent="0.3">
      <c r="A8" s="9"/>
    </row>
    <row r="9" spans="1:7" ht="79.95" customHeight="1" x14ac:dyDescent="0.3">
      <c r="A9" s="97" t="s">
        <v>85</v>
      </c>
      <c r="B9" s="416" t="s">
        <v>165</v>
      </c>
      <c r="C9" s="416"/>
      <c r="D9" s="416" t="s">
        <v>166</v>
      </c>
      <c r="E9" s="416"/>
      <c r="F9" s="416" t="s">
        <v>93</v>
      </c>
      <c r="G9" s="416"/>
    </row>
    <row r="10" spans="1:7" ht="18" x14ac:dyDescent="0.3">
      <c r="A10" s="97">
        <v>1</v>
      </c>
      <c r="B10" s="416">
        <v>2</v>
      </c>
      <c r="C10" s="416"/>
      <c r="D10" s="416">
        <v>3</v>
      </c>
      <c r="E10" s="416"/>
      <c r="F10" s="416">
        <v>4</v>
      </c>
      <c r="G10" s="416"/>
    </row>
    <row r="11" spans="1:7" ht="36" x14ac:dyDescent="0.3">
      <c r="A11" s="11" t="s">
        <v>168</v>
      </c>
      <c r="B11" s="417">
        <v>8867.25</v>
      </c>
      <c r="C11" s="417"/>
      <c r="D11" s="416">
        <v>12</v>
      </c>
      <c r="E11" s="416"/>
      <c r="F11" s="417">
        <v>106407</v>
      </c>
      <c r="G11" s="417"/>
    </row>
    <row r="12" spans="1:7" ht="36" x14ac:dyDescent="0.3">
      <c r="A12" s="11" t="s">
        <v>434</v>
      </c>
      <c r="B12" s="417">
        <v>17182.75</v>
      </c>
      <c r="C12" s="417"/>
      <c r="D12" s="416">
        <v>12</v>
      </c>
      <c r="E12" s="416"/>
      <c r="F12" s="417">
        <v>206193</v>
      </c>
      <c r="G12" s="417"/>
    </row>
    <row r="13" spans="1:7" ht="18" x14ac:dyDescent="0.3">
      <c r="A13" s="206" t="s">
        <v>361</v>
      </c>
      <c r="B13" s="452"/>
      <c r="C13" s="453"/>
      <c r="D13" s="408"/>
      <c r="E13" s="410"/>
      <c r="F13" s="417">
        <f>SUM(F11:F12)</f>
        <v>312600</v>
      </c>
      <c r="G13" s="417"/>
    </row>
    <row r="14" spans="1:7" ht="17.399999999999999" x14ac:dyDescent="0.3">
      <c r="A14" s="96"/>
    </row>
    <row r="15" spans="1:7" ht="43.95" customHeight="1" x14ac:dyDescent="0.3">
      <c r="A15" s="432" t="s">
        <v>173</v>
      </c>
      <c r="B15" s="432"/>
      <c r="C15" s="432"/>
      <c r="D15" s="432"/>
      <c r="E15" s="432"/>
      <c r="F15" s="432"/>
      <c r="G15" s="432"/>
    </row>
    <row r="16" spans="1:7" ht="17.399999999999999" x14ac:dyDescent="0.3">
      <c r="A16" s="99"/>
      <c r="B16" s="99"/>
      <c r="C16" s="99"/>
      <c r="D16" s="99"/>
      <c r="E16" s="99"/>
      <c r="F16" s="99"/>
      <c r="G16" s="99"/>
    </row>
    <row r="17" spans="1:7" ht="18" x14ac:dyDescent="0.35">
      <c r="A17" s="7" t="s">
        <v>252</v>
      </c>
      <c r="B17" s="8">
        <v>130</v>
      </c>
    </row>
    <row r="18" spans="1:7" ht="15" x14ac:dyDescent="0.3">
      <c r="A18" s="9"/>
    </row>
    <row r="19" spans="1:7" ht="41.4" customHeight="1" x14ac:dyDescent="0.3">
      <c r="A19" s="97" t="s">
        <v>85</v>
      </c>
      <c r="B19" s="416" t="s">
        <v>171</v>
      </c>
      <c r="C19" s="416"/>
      <c r="D19" s="416" t="s">
        <v>172</v>
      </c>
      <c r="E19" s="416"/>
      <c r="F19" s="416" t="s">
        <v>93</v>
      </c>
      <c r="G19" s="416"/>
    </row>
    <row r="20" spans="1:7" ht="18" x14ac:dyDescent="0.3">
      <c r="A20" s="97">
        <v>1</v>
      </c>
      <c r="B20" s="416">
        <v>2</v>
      </c>
      <c r="C20" s="416"/>
      <c r="D20" s="416">
        <v>3</v>
      </c>
      <c r="E20" s="416"/>
      <c r="F20" s="416">
        <v>4</v>
      </c>
      <c r="G20" s="416"/>
    </row>
    <row r="21" spans="1:7" ht="72" x14ac:dyDescent="0.3">
      <c r="A21" s="11" t="s">
        <v>163</v>
      </c>
      <c r="B21" s="529">
        <v>56667</v>
      </c>
      <c r="C21" s="529"/>
      <c r="D21" s="417">
        <v>464.11491699999999</v>
      </c>
      <c r="E21" s="417"/>
      <c r="F21" s="417">
        <f>'платные на 2023-2024 год'!D13</f>
        <v>26300000</v>
      </c>
      <c r="G21" s="417"/>
    </row>
    <row r="22" spans="1:7" ht="17.399999999999999" x14ac:dyDescent="0.3">
      <c r="A22" s="96"/>
    </row>
    <row r="23" spans="1:7" ht="17.399999999999999" x14ac:dyDescent="0.3">
      <c r="A23" s="432" t="s">
        <v>254</v>
      </c>
      <c r="B23" s="432"/>
      <c r="C23" s="432"/>
      <c r="D23" s="432"/>
      <c r="E23" s="432"/>
      <c r="F23" s="432"/>
      <c r="G23" s="432"/>
    </row>
    <row r="24" spans="1:7" ht="18" x14ac:dyDescent="0.3">
      <c r="A24" s="13"/>
      <c r="B24" s="17"/>
      <c r="C24" s="17"/>
      <c r="D24" s="17"/>
      <c r="E24" s="17"/>
      <c r="F24" s="75"/>
      <c r="G24" s="75"/>
    </row>
    <row r="25" spans="1:7" ht="18" x14ac:dyDescent="0.35">
      <c r="A25" s="7" t="s">
        <v>252</v>
      </c>
      <c r="B25" s="8">
        <v>180</v>
      </c>
    </row>
    <row r="26" spans="1:7" ht="15" x14ac:dyDescent="0.3">
      <c r="A26" s="9"/>
    </row>
    <row r="27" spans="1:7" ht="43.95" customHeight="1" x14ac:dyDescent="0.3">
      <c r="A27" s="231" t="s">
        <v>85</v>
      </c>
      <c r="B27" s="416" t="s">
        <v>141</v>
      </c>
      <c r="C27" s="416"/>
      <c r="D27" s="416" t="s">
        <v>181</v>
      </c>
      <c r="E27" s="416"/>
      <c r="F27" s="416" t="s">
        <v>93</v>
      </c>
      <c r="G27" s="416"/>
    </row>
    <row r="28" spans="1:7" ht="18" x14ac:dyDescent="0.3">
      <c r="A28" s="231">
        <v>1</v>
      </c>
      <c r="B28" s="416">
        <v>2</v>
      </c>
      <c r="C28" s="416"/>
      <c r="D28" s="416">
        <v>3</v>
      </c>
      <c r="E28" s="416"/>
      <c r="F28" s="416">
        <v>4</v>
      </c>
      <c r="G28" s="416"/>
    </row>
    <row r="29" spans="1:7" ht="22.2" customHeight="1" x14ac:dyDescent="0.3">
      <c r="A29" s="230" t="s">
        <v>193</v>
      </c>
      <c r="B29" s="416" t="s">
        <v>116</v>
      </c>
      <c r="C29" s="416"/>
      <c r="D29" s="416" t="s">
        <v>116</v>
      </c>
      <c r="E29" s="416"/>
      <c r="F29" s="417">
        <f>'платные на 2023-2024 год'!D108</f>
        <v>0</v>
      </c>
      <c r="G29" s="416"/>
    </row>
    <row r="30" spans="1:7" ht="54" x14ac:dyDescent="0.3">
      <c r="A30" s="230" t="s">
        <v>194</v>
      </c>
      <c r="B30" s="416" t="s">
        <v>116</v>
      </c>
      <c r="C30" s="416"/>
      <c r="D30" s="416" t="s">
        <v>116</v>
      </c>
      <c r="E30" s="416"/>
      <c r="F30" s="417">
        <f>'платные на 2023-2024 год'!D109</f>
        <v>-144603</v>
      </c>
      <c r="G30" s="416"/>
    </row>
    <row r="31" spans="1:7" ht="54" x14ac:dyDescent="0.3">
      <c r="A31" s="230" t="s">
        <v>195</v>
      </c>
      <c r="B31" s="416" t="s">
        <v>116</v>
      </c>
      <c r="C31" s="416"/>
      <c r="D31" s="416" t="s">
        <v>116</v>
      </c>
      <c r="E31" s="416"/>
      <c r="F31" s="417">
        <f>'платные на 2023-2024 год'!D110</f>
        <v>0</v>
      </c>
      <c r="G31" s="416"/>
    </row>
    <row r="32" spans="1:7" ht="18" x14ac:dyDescent="0.3">
      <c r="A32" s="230" t="s">
        <v>361</v>
      </c>
      <c r="B32" s="416"/>
      <c r="C32" s="416"/>
      <c r="D32" s="416"/>
      <c r="E32" s="416"/>
      <c r="F32" s="417">
        <f>SUM(F29:F31)</f>
        <v>-144603</v>
      </c>
      <c r="G32" s="416"/>
    </row>
    <row r="33" spans="1:7" ht="18" x14ac:dyDescent="0.3">
      <c r="A33" s="13"/>
      <c r="B33" s="17"/>
      <c r="C33" s="17"/>
      <c r="D33" s="17"/>
      <c r="E33" s="17"/>
      <c r="F33" s="17"/>
      <c r="G33" s="17"/>
    </row>
    <row r="34" spans="1:7" ht="18" x14ac:dyDescent="0.3">
      <c r="A34" s="13"/>
      <c r="B34" s="17"/>
      <c r="C34" s="17"/>
      <c r="D34" s="17"/>
      <c r="E34" s="17"/>
      <c r="F34" s="17"/>
      <c r="G34" s="17"/>
    </row>
    <row r="35" spans="1:7" ht="18" x14ac:dyDescent="0.3">
      <c r="A35" s="13"/>
      <c r="B35" s="17"/>
      <c r="C35" s="17"/>
      <c r="D35" s="17"/>
      <c r="E35" s="17"/>
      <c r="F35" s="17"/>
      <c r="G35" s="17"/>
    </row>
    <row r="36" spans="1:7" ht="48.6" customHeight="1" x14ac:dyDescent="0.3">
      <c r="A36" s="432" t="s">
        <v>457</v>
      </c>
      <c r="B36" s="432"/>
      <c r="C36" s="432"/>
      <c r="D36" s="432"/>
      <c r="E36" s="432"/>
      <c r="F36" s="432"/>
      <c r="G36" s="432"/>
    </row>
    <row r="37" spans="1:7" ht="17.399999999999999" x14ac:dyDescent="0.3">
      <c r="A37" s="6"/>
    </row>
    <row r="38" spans="1:7" ht="17.399999999999999" x14ac:dyDescent="0.3">
      <c r="A38" s="415" t="s">
        <v>188</v>
      </c>
      <c r="B38" s="415"/>
      <c r="C38" s="415"/>
      <c r="D38" s="415"/>
      <c r="E38" s="415"/>
      <c r="F38" s="415"/>
      <c r="G38" s="415"/>
    </row>
    <row r="39" spans="1:7" ht="18" x14ac:dyDescent="0.3">
      <c r="A39" s="7"/>
    </row>
    <row r="40" spans="1:7" ht="18" x14ac:dyDescent="0.35">
      <c r="A40" s="7" t="s">
        <v>144</v>
      </c>
      <c r="B40" s="8">
        <v>111</v>
      </c>
    </row>
    <row r="41" spans="1:7" ht="15" x14ac:dyDescent="0.3">
      <c r="A41" s="9"/>
    </row>
    <row r="42" spans="1:7" ht="54" customHeight="1" x14ac:dyDescent="0.3">
      <c r="A42" s="416" t="s">
        <v>75</v>
      </c>
      <c r="B42" s="416" t="s">
        <v>76</v>
      </c>
      <c r="C42" s="416" t="s">
        <v>77</v>
      </c>
      <c r="D42" s="416"/>
      <c r="E42" s="416"/>
      <c r="F42" s="416"/>
      <c r="G42" s="416" t="s">
        <v>78</v>
      </c>
    </row>
    <row r="43" spans="1:7" ht="18" x14ac:dyDescent="0.3">
      <c r="A43" s="416"/>
      <c r="B43" s="416"/>
      <c r="C43" s="416" t="s">
        <v>79</v>
      </c>
      <c r="D43" s="416" t="s">
        <v>6</v>
      </c>
      <c r="E43" s="416"/>
      <c r="F43" s="416"/>
      <c r="G43" s="416"/>
    </row>
    <row r="44" spans="1:7" ht="72" x14ac:dyDescent="0.3">
      <c r="A44" s="416"/>
      <c r="B44" s="416"/>
      <c r="C44" s="416"/>
      <c r="D44" s="10" t="s">
        <v>80</v>
      </c>
      <c r="E44" s="10" t="s">
        <v>81</v>
      </c>
      <c r="F44" s="10" t="s">
        <v>82</v>
      </c>
      <c r="G44" s="416"/>
    </row>
    <row r="45" spans="1:7" ht="18" x14ac:dyDescent="0.3">
      <c r="A45" s="156">
        <v>1</v>
      </c>
      <c r="B45" s="156">
        <v>2</v>
      </c>
      <c r="C45" s="156">
        <v>3</v>
      </c>
      <c r="D45" s="156">
        <v>4</v>
      </c>
      <c r="E45" s="156">
        <v>4</v>
      </c>
      <c r="F45" s="156">
        <v>5</v>
      </c>
      <c r="G45" s="156">
        <v>7</v>
      </c>
    </row>
    <row r="46" spans="1:7" x14ac:dyDescent="0.3">
      <c r="A46" s="185" t="s">
        <v>269</v>
      </c>
      <c r="B46" s="186">
        <v>1</v>
      </c>
      <c r="C46" s="233">
        <f t="shared" ref="C46:C53" si="0">SUM(D46:F46)</f>
        <v>9886.69</v>
      </c>
      <c r="D46" s="188"/>
      <c r="E46" s="233"/>
      <c r="F46" s="233">
        <v>9886.69</v>
      </c>
      <c r="G46" s="233">
        <f t="shared" ref="G46:G114" si="1">C46*B46*12</f>
        <v>118640.28</v>
      </c>
    </row>
    <row r="47" spans="1:7" x14ac:dyDescent="0.3">
      <c r="A47" s="189" t="s">
        <v>270</v>
      </c>
      <c r="B47" s="186">
        <v>2</v>
      </c>
      <c r="C47" s="233">
        <f t="shared" si="0"/>
        <v>6907.61</v>
      </c>
      <c r="D47" s="188"/>
      <c r="E47" s="233"/>
      <c r="F47" s="233">
        <v>6907.61</v>
      </c>
      <c r="G47" s="233">
        <f t="shared" si="1"/>
        <v>165782.63999999998</v>
      </c>
    </row>
    <row r="48" spans="1:7" x14ac:dyDescent="0.3">
      <c r="A48" s="185" t="s">
        <v>271</v>
      </c>
      <c r="B48" s="186">
        <v>1</v>
      </c>
      <c r="C48" s="233">
        <f t="shared" si="0"/>
        <v>5505.39</v>
      </c>
      <c r="D48" s="188"/>
      <c r="E48" s="190"/>
      <c r="F48" s="233">
        <v>5505.39</v>
      </c>
      <c r="G48" s="233">
        <f t="shared" si="1"/>
        <v>66064.680000000008</v>
      </c>
    </row>
    <row r="49" spans="1:7" x14ac:dyDescent="0.3">
      <c r="A49" s="185" t="s">
        <v>272</v>
      </c>
      <c r="B49" s="186">
        <v>1</v>
      </c>
      <c r="C49" s="233">
        <f t="shared" si="0"/>
        <v>5323.02</v>
      </c>
      <c r="D49" s="188"/>
      <c r="E49" s="233"/>
      <c r="F49" s="233">
        <v>5323.02</v>
      </c>
      <c r="G49" s="233">
        <f t="shared" si="1"/>
        <v>63876.240000000005</v>
      </c>
    </row>
    <row r="50" spans="1:7" ht="26.4" x14ac:dyDescent="0.3">
      <c r="A50" s="185" t="s">
        <v>273</v>
      </c>
      <c r="B50" s="186">
        <v>2</v>
      </c>
      <c r="C50" s="233">
        <f t="shared" si="0"/>
        <v>3132.02</v>
      </c>
      <c r="D50" s="188"/>
      <c r="E50" s="233"/>
      <c r="F50" s="233">
        <v>3132.02</v>
      </c>
      <c r="G50" s="233">
        <f t="shared" si="1"/>
        <v>75168.479999999996</v>
      </c>
    </row>
    <row r="51" spans="1:7" x14ac:dyDescent="0.3">
      <c r="A51" s="185" t="s">
        <v>274</v>
      </c>
      <c r="B51" s="186">
        <v>3</v>
      </c>
      <c r="C51" s="233">
        <f t="shared" si="0"/>
        <v>1862.3</v>
      </c>
      <c r="D51" s="188"/>
      <c r="E51" s="233"/>
      <c r="F51" s="233">
        <v>1862.3</v>
      </c>
      <c r="G51" s="233">
        <f t="shared" si="1"/>
        <v>67042.799999999988</v>
      </c>
    </row>
    <row r="52" spans="1:7" x14ac:dyDescent="0.3">
      <c r="A52" s="185" t="s">
        <v>275</v>
      </c>
      <c r="B52" s="186">
        <v>1</v>
      </c>
      <c r="C52" s="233">
        <f t="shared" si="0"/>
        <v>1769.75</v>
      </c>
      <c r="D52" s="188"/>
      <c r="E52" s="190"/>
      <c r="F52" s="233">
        <v>1769.75</v>
      </c>
      <c r="G52" s="233">
        <f t="shared" si="1"/>
        <v>21237</v>
      </c>
    </row>
    <row r="53" spans="1:7" ht="16.5" customHeight="1" x14ac:dyDescent="0.3">
      <c r="A53" s="185" t="s">
        <v>276</v>
      </c>
      <c r="B53" s="186">
        <v>0.5</v>
      </c>
      <c r="C53" s="233">
        <f t="shared" si="0"/>
        <v>1769.75</v>
      </c>
      <c r="D53" s="188"/>
      <c r="E53" s="190"/>
      <c r="F53" s="233">
        <v>1769.75</v>
      </c>
      <c r="G53" s="233">
        <f t="shared" si="1"/>
        <v>10618.5</v>
      </c>
    </row>
    <row r="54" spans="1:7" ht="15" customHeight="1" x14ac:dyDescent="0.3">
      <c r="A54" s="185" t="s">
        <v>277</v>
      </c>
      <c r="B54" s="186">
        <v>1</v>
      </c>
      <c r="C54" s="233">
        <f>SUM(D54:F54)</f>
        <v>3934.5</v>
      </c>
      <c r="D54" s="188"/>
      <c r="E54" s="233"/>
      <c r="F54" s="233">
        <v>3934.5</v>
      </c>
      <c r="G54" s="233">
        <f t="shared" si="1"/>
        <v>47214</v>
      </c>
    </row>
    <row r="55" spans="1:7" ht="26.25" customHeight="1" x14ac:dyDescent="0.3">
      <c r="A55" s="185" t="s">
        <v>440</v>
      </c>
      <c r="B55" s="186">
        <v>1</v>
      </c>
      <c r="C55" s="233">
        <f>SUM(D55:F55)</f>
        <v>2936.14</v>
      </c>
      <c r="D55" s="188"/>
      <c r="E55" s="233"/>
      <c r="F55" s="233">
        <v>2936.14</v>
      </c>
      <c r="G55" s="233">
        <f t="shared" si="1"/>
        <v>35233.68</v>
      </c>
    </row>
    <row r="56" spans="1:7" x14ac:dyDescent="0.3">
      <c r="A56" s="185" t="s">
        <v>374</v>
      </c>
      <c r="B56" s="186">
        <v>1</v>
      </c>
      <c r="C56" s="233">
        <f t="shared" ref="C56:C103" si="2">SUM(D56:F56)</f>
        <v>2936.14</v>
      </c>
      <c r="D56" s="188"/>
      <c r="E56" s="233"/>
      <c r="F56" s="233">
        <v>2936.14</v>
      </c>
      <c r="G56" s="233">
        <f t="shared" si="1"/>
        <v>35233.68</v>
      </c>
    </row>
    <row r="57" spans="1:7" ht="39.6" x14ac:dyDescent="0.3">
      <c r="A57" s="185" t="s">
        <v>280</v>
      </c>
      <c r="B57" s="186">
        <v>1</v>
      </c>
      <c r="C57" s="233">
        <f>SUM(D57:F57)</f>
        <v>2568.34</v>
      </c>
      <c r="D57" s="188"/>
      <c r="E57" s="233"/>
      <c r="F57" s="233">
        <v>2568.34</v>
      </c>
      <c r="G57" s="233">
        <f>C57*B57*12</f>
        <v>30820.080000000002</v>
      </c>
    </row>
    <row r="58" spans="1:7" ht="27" customHeight="1" x14ac:dyDescent="0.3">
      <c r="A58" s="185" t="s">
        <v>281</v>
      </c>
      <c r="B58" s="186">
        <v>1</v>
      </c>
      <c r="C58" s="233">
        <f>SUM(D58:F58)</f>
        <v>2356.2399999999998</v>
      </c>
      <c r="D58" s="188"/>
      <c r="E58" s="233"/>
      <c r="F58" s="233">
        <v>2356.2399999999998</v>
      </c>
      <c r="G58" s="233">
        <f t="shared" si="1"/>
        <v>28274.879999999997</v>
      </c>
    </row>
    <row r="59" spans="1:7" x14ac:dyDescent="0.3">
      <c r="A59" s="185" t="s">
        <v>282</v>
      </c>
      <c r="B59" s="186">
        <v>1</v>
      </c>
      <c r="C59" s="233">
        <f>SUM(D59:F59)</f>
        <v>2320.2399999999998</v>
      </c>
      <c r="D59" s="188"/>
      <c r="E59" s="233"/>
      <c r="F59" s="233">
        <v>2320.2399999999998</v>
      </c>
      <c r="G59" s="233">
        <f t="shared" si="1"/>
        <v>27842.879999999997</v>
      </c>
    </row>
    <row r="60" spans="1:7" ht="26.4" x14ac:dyDescent="0.3">
      <c r="A60" s="185" t="s">
        <v>375</v>
      </c>
      <c r="B60" s="186">
        <v>1</v>
      </c>
      <c r="C60" s="233">
        <f t="shared" si="2"/>
        <v>2356.2399999999998</v>
      </c>
      <c r="D60" s="188"/>
      <c r="E60" s="190"/>
      <c r="F60" s="233">
        <v>2356.2399999999998</v>
      </c>
      <c r="G60" s="233">
        <f t="shared" si="1"/>
        <v>28274.879999999997</v>
      </c>
    </row>
    <row r="61" spans="1:7" x14ac:dyDescent="0.3">
      <c r="A61" s="185" t="s">
        <v>284</v>
      </c>
      <c r="B61" s="186">
        <v>1</v>
      </c>
      <c r="C61" s="233">
        <f t="shared" si="2"/>
        <v>2928.75</v>
      </c>
      <c r="D61" s="188"/>
      <c r="E61" s="190"/>
      <c r="F61" s="233">
        <v>2928.75</v>
      </c>
      <c r="G61" s="233">
        <f t="shared" si="1"/>
        <v>35145</v>
      </c>
    </row>
    <row r="62" spans="1:7" ht="26.25" customHeight="1" x14ac:dyDescent="0.3">
      <c r="A62" s="185" t="s">
        <v>376</v>
      </c>
      <c r="B62" s="186">
        <v>1</v>
      </c>
      <c r="C62" s="233">
        <f t="shared" si="2"/>
        <v>2645.12</v>
      </c>
      <c r="D62" s="188"/>
      <c r="E62" s="233"/>
      <c r="F62" s="233">
        <v>2645.12</v>
      </c>
      <c r="G62" s="233">
        <f t="shared" si="1"/>
        <v>31741.439999999999</v>
      </c>
    </row>
    <row r="63" spans="1:7" x14ac:dyDescent="0.3">
      <c r="A63" s="185" t="s">
        <v>286</v>
      </c>
      <c r="B63" s="186">
        <v>1</v>
      </c>
      <c r="C63" s="233">
        <f t="shared" si="2"/>
        <v>3543.02</v>
      </c>
      <c r="D63" s="188"/>
      <c r="E63" s="190"/>
      <c r="F63" s="233">
        <v>3543.02</v>
      </c>
      <c r="G63" s="233">
        <f t="shared" si="1"/>
        <v>42516.24</v>
      </c>
    </row>
    <row r="64" spans="1:7" ht="15.75" customHeight="1" x14ac:dyDescent="0.3">
      <c r="A64" s="185" t="s">
        <v>377</v>
      </c>
      <c r="B64" s="186">
        <v>1</v>
      </c>
      <c r="C64" s="233">
        <f t="shared" si="2"/>
        <v>2067.98</v>
      </c>
      <c r="D64" s="188"/>
      <c r="E64" s="190"/>
      <c r="F64" s="233">
        <v>2067.98</v>
      </c>
      <c r="G64" s="233">
        <f t="shared" si="1"/>
        <v>24815.760000000002</v>
      </c>
    </row>
    <row r="65" spans="1:7" ht="27" customHeight="1" x14ac:dyDescent="0.3">
      <c r="A65" s="185" t="s">
        <v>378</v>
      </c>
      <c r="B65" s="186">
        <v>1</v>
      </c>
      <c r="C65" s="233">
        <f t="shared" si="2"/>
        <v>2067.98</v>
      </c>
      <c r="D65" s="188"/>
      <c r="E65" s="190"/>
      <c r="F65" s="233">
        <v>2067.98</v>
      </c>
      <c r="G65" s="233">
        <f t="shared" si="1"/>
        <v>24815.760000000002</v>
      </c>
    </row>
    <row r="66" spans="1:7" x14ac:dyDescent="0.3">
      <c r="A66" s="185" t="s">
        <v>284</v>
      </c>
      <c r="B66" s="186">
        <v>1</v>
      </c>
      <c r="C66" s="233">
        <f t="shared" si="2"/>
        <v>2067.98</v>
      </c>
      <c r="D66" s="188"/>
      <c r="E66" s="190"/>
      <c r="F66" s="233">
        <v>2067.98</v>
      </c>
      <c r="G66" s="233">
        <f t="shared" si="1"/>
        <v>24815.760000000002</v>
      </c>
    </row>
    <row r="67" spans="1:7" ht="26.4" x14ac:dyDescent="0.3">
      <c r="A67" s="185" t="s">
        <v>290</v>
      </c>
      <c r="B67" s="186">
        <v>1</v>
      </c>
      <c r="C67" s="233">
        <f t="shared" si="2"/>
        <v>2015.87</v>
      </c>
      <c r="D67" s="188"/>
      <c r="E67" s="233"/>
      <c r="F67" s="233">
        <v>2015.87</v>
      </c>
      <c r="G67" s="233">
        <f t="shared" si="1"/>
        <v>24190.44</v>
      </c>
    </row>
    <row r="68" spans="1:7" x14ac:dyDescent="0.3">
      <c r="A68" s="185" t="s">
        <v>291</v>
      </c>
      <c r="B68" s="186">
        <v>1</v>
      </c>
      <c r="C68" s="233">
        <f t="shared" si="2"/>
        <v>2015.87</v>
      </c>
      <c r="D68" s="188"/>
      <c r="E68" s="233"/>
      <c r="F68" s="233">
        <v>2015.87</v>
      </c>
      <c r="G68" s="233">
        <f t="shared" si="1"/>
        <v>24190.44</v>
      </c>
    </row>
    <row r="69" spans="1:7" ht="26.4" x14ac:dyDescent="0.3">
      <c r="A69" s="185" t="s">
        <v>292</v>
      </c>
      <c r="B69" s="186">
        <v>1</v>
      </c>
      <c r="C69" s="233">
        <f t="shared" si="2"/>
        <v>5274.12</v>
      </c>
      <c r="D69" s="188"/>
      <c r="E69" s="233"/>
      <c r="F69" s="233">
        <v>5274.12</v>
      </c>
      <c r="G69" s="233">
        <f t="shared" si="1"/>
        <v>63289.440000000002</v>
      </c>
    </row>
    <row r="70" spans="1:7" x14ac:dyDescent="0.3">
      <c r="A70" s="185" t="s">
        <v>293</v>
      </c>
      <c r="B70" s="186">
        <v>1</v>
      </c>
      <c r="C70" s="233">
        <f t="shared" si="2"/>
        <v>5035.6899999999996</v>
      </c>
      <c r="D70" s="188"/>
      <c r="E70" s="233"/>
      <c r="F70" s="233">
        <v>5035.6899999999996</v>
      </c>
      <c r="G70" s="233">
        <f t="shared" si="1"/>
        <v>60428.28</v>
      </c>
    </row>
    <row r="71" spans="1:7" x14ac:dyDescent="0.3">
      <c r="A71" s="185" t="s">
        <v>294</v>
      </c>
      <c r="B71" s="186">
        <v>1</v>
      </c>
      <c r="C71" s="233">
        <f t="shared" si="2"/>
        <v>5035.6899999999996</v>
      </c>
      <c r="D71" s="188"/>
      <c r="E71" s="233"/>
      <c r="F71" s="233">
        <v>5035.6899999999996</v>
      </c>
      <c r="G71" s="233">
        <f t="shared" si="1"/>
        <v>60428.28</v>
      </c>
    </row>
    <row r="72" spans="1:7" ht="28.5" customHeight="1" x14ac:dyDescent="0.3">
      <c r="A72" s="185" t="s">
        <v>295</v>
      </c>
      <c r="B72" s="186">
        <v>1</v>
      </c>
      <c r="C72" s="233">
        <f t="shared" si="2"/>
        <v>5035.6899999999996</v>
      </c>
      <c r="D72" s="188"/>
      <c r="E72" s="233"/>
      <c r="F72" s="233">
        <v>5035.6899999999996</v>
      </c>
      <c r="G72" s="233">
        <f t="shared" si="1"/>
        <v>60428.28</v>
      </c>
    </row>
    <row r="73" spans="1:7" x14ac:dyDescent="0.3">
      <c r="A73" s="185" t="s">
        <v>296</v>
      </c>
      <c r="B73" s="186">
        <v>1</v>
      </c>
      <c r="C73" s="233">
        <f t="shared" si="2"/>
        <v>5035.6899999999996</v>
      </c>
      <c r="D73" s="188"/>
      <c r="E73" s="233"/>
      <c r="F73" s="233">
        <v>5035.6899999999996</v>
      </c>
      <c r="G73" s="233">
        <f t="shared" si="1"/>
        <v>60428.28</v>
      </c>
    </row>
    <row r="74" spans="1:7" ht="26.4" x14ac:dyDescent="0.3">
      <c r="A74" s="185" t="s">
        <v>297</v>
      </c>
      <c r="B74" s="186">
        <v>1</v>
      </c>
      <c r="C74" s="233">
        <f t="shared" si="2"/>
        <v>4035.69</v>
      </c>
      <c r="D74" s="188"/>
      <c r="E74" s="233"/>
      <c r="F74" s="233">
        <v>4035.69</v>
      </c>
      <c r="G74" s="233">
        <f t="shared" si="1"/>
        <v>48428.28</v>
      </c>
    </row>
    <row r="75" spans="1:7" ht="26.4" x14ac:dyDescent="0.3">
      <c r="A75" s="185" t="s">
        <v>298</v>
      </c>
      <c r="B75" s="186">
        <v>1</v>
      </c>
      <c r="C75" s="233">
        <f t="shared" si="2"/>
        <v>4050.81</v>
      </c>
      <c r="D75" s="188"/>
      <c r="E75" s="233"/>
      <c r="F75" s="233">
        <v>4050.81</v>
      </c>
      <c r="G75" s="233">
        <f t="shared" si="1"/>
        <v>48609.72</v>
      </c>
    </row>
    <row r="76" spans="1:7" ht="26.4" x14ac:dyDescent="0.3">
      <c r="A76" s="185" t="s">
        <v>299</v>
      </c>
      <c r="B76" s="186">
        <v>1</v>
      </c>
      <c r="C76" s="233">
        <f t="shared" si="2"/>
        <v>4050.81</v>
      </c>
      <c r="D76" s="188"/>
      <c r="E76" s="233"/>
      <c r="F76" s="233">
        <v>4050.81</v>
      </c>
      <c r="G76" s="233">
        <f t="shared" si="1"/>
        <v>48609.72</v>
      </c>
    </row>
    <row r="77" spans="1:7" ht="17.25" customHeight="1" x14ac:dyDescent="0.3">
      <c r="A77" s="185" t="s">
        <v>300</v>
      </c>
      <c r="B77" s="186">
        <v>4</v>
      </c>
      <c r="C77" s="233">
        <f t="shared" si="2"/>
        <v>2725.39</v>
      </c>
      <c r="D77" s="188"/>
      <c r="E77" s="233"/>
      <c r="F77" s="233">
        <v>2725.39</v>
      </c>
      <c r="G77" s="233">
        <f t="shared" si="1"/>
        <v>130818.72</v>
      </c>
    </row>
    <row r="78" spans="1:7" ht="39.6" x14ac:dyDescent="0.3">
      <c r="A78" s="185" t="s">
        <v>301</v>
      </c>
      <c r="B78" s="186">
        <v>1</v>
      </c>
      <c r="C78" s="233">
        <f t="shared" si="2"/>
        <v>2556.4499999999998</v>
      </c>
      <c r="D78" s="188"/>
      <c r="E78" s="233"/>
      <c r="F78" s="233">
        <v>2556.4499999999998</v>
      </c>
      <c r="G78" s="233">
        <f t="shared" si="1"/>
        <v>30677.399999999998</v>
      </c>
    </row>
    <row r="79" spans="1:7" ht="26.4" x14ac:dyDescent="0.3">
      <c r="A79" s="185" t="s">
        <v>302</v>
      </c>
      <c r="B79" s="186">
        <v>1</v>
      </c>
      <c r="C79" s="233">
        <f t="shared" si="2"/>
        <v>2598.41</v>
      </c>
      <c r="D79" s="188"/>
      <c r="E79" s="233"/>
      <c r="F79" s="233">
        <v>2598.41</v>
      </c>
      <c r="G79" s="233">
        <f t="shared" si="1"/>
        <v>31180.92</v>
      </c>
    </row>
    <row r="80" spans="1:7" ht="15" customHeight="1" x14ac:dyDescent="0.3">
      <c r="A80" s="185" t="s">
        <v>303</v>
      </c>
      <c r="B80" s="186">
        <v>2.5</v>
      </c>
      <c r="C80" s="233">
        <f t="shared" si="2"/>
        <v>1923.14</v>
      </c>
      <c r="D80" s="188"/>
      <c r="E80" s="233"/>
      <c r="F80" s="233">
        <v>1923.14</v>
      </c>
      <c r="G80" s="233">
        <f t="shared" si="1"/>
        <v>57694.200000000004</v>
      </c>
    </row>
    <row r="81" spans="1:7" ht="14.25" customHeight="1" x14ac:dyDescent="0.3">
      <c r="A81" s="185" t="s">
        <v>304</v>
      </c>
      <c r="B81" s="186">
        <v>0.5</v>
      </c>
      <c r="C81" s="233">
        <f t="shared" si="2"/>
        <v>1923.14</v>
      </c>
      <c r="D81" s="188"/>
      <c r="E81" s="233"/>
      <c r="F81" s="233">
        <v>1923.14</v>
      </c>
      <c r="G81" s="233">
        <f t="shared" si="1"/>
        <v>11538.84</v>
      </c>
    </row>
    <row r="82" spans="1:7" x14ac:dyDescent="0.3">
      <c r="A82" s="185" t="s">
        <v>305</v>
      </c>
      <c r="B82" s="186">
        <v>0.5</v>
      </c>
      <c r="C82" s="233">
        <f t="shared" si="2"/>
        <v>1923.14</v>
      </c>
      <c r="D82" s="188"/>
      <c r="E82" s="233"/>
      <c r="F82" s="233">
        <v>1923.14</v>
      </c>
      <c r="G82" s="233">
        <f t="shared" si="1"/>
        <v>11538.84</v>
      </c>
    </row>
    <row r="83" spans="1:7" x14ac:dyDescent="0.3">
      <c r="A83" s="185" t="s">
        <v>306</v>
      </c>
      <c r="B83" s="186">
        <v>0.5</v>
      </c>
      <c r="C83" s="233">
        <f t="shared" si="2"/>
        <v>1923.14</v>
      </c>
      <c r="D83" s="188"/>
      <c r="E83" s="233"/>
      <c r="F83" s="233">
        <v>1923.14</v>
      </c>
      <c r="G83" s="233">
        <f t="shared" si="1"/>
        <v>11538.84</v>
      </c>
    </row>
    <row r="84" spans="1:7" ht="41.25" customHeight="1" x14ac:dyDescent="0.3">
      <c r="A84" s="185" t="s">
        <v>379</v>
      </c>
      <c r="B84" s="186">
        <v>1</v>
      </c>
      <c r="C84" s="233">
        <f>SUM(D84:F84)</f>
        <v>1767.31</v>
      </c>
      <c r="D84" s="188"/>
      <c r="E84" s="233"/>
      <c r="F84" s="233">
        <v>1767.31</v>
      </c>
      <c r="G84" s="233">
        <f t="shared" si="1"/>
        <v>21207.72</v>
      </c>
    </row>
    <row r="85" spans="1:7" x14ac:dyDescent="0.3">
      <c r="A85" s="185" t="s">
        <v>308</v>
      </c>
      <c r="B85" s="186">
        <v>1</v>
      </c>
      <c r="C85" s="233">
        <f>SUM(D85:F85)</f>
        <v>1767.31</v>
      </c>
      <c r="D85" s="188"/>
      <c r="E85" s="233"/>
      <c r="F85" s="233">
        <v>1767.31</v>
      </c>
      <c r="G85" s="233">
        <f t="shared" si="1"/>
        <v>21207.72</v>
      </c>
    </row>
    <row r="86" spans="1:7" x14ac:dyDescent="0.3">
      <c r="A86" s="196" t="s">
        <v>382</v>
      </c>
      <c r="B86" s="197">
        <v>1</v>
      </c>
      <c r="C86" s="198">
        <f t="shared" ref="C86" si="3">SUM(D86:F86)</f>
        <v>1767.31</v>
      </c>
      <c r="D86" s="198"/>
      <c r="E86" s="233"/>
      <c r="F86" s="233">
        <v>1767.31</v>
      </c>
      <c r="G86" s="233">
        <f t="shared" ref="G86" si="4">C86*B86*4</f>
        <v>7069.24</v>
      </c>
    </row>
    <row r="87" spans="1:7" x14ac:dyDescent="0.3">
      <c r="A87" s="185" t="s">
        <v>448</v>
      </c>
      <c r="B87" s="186">
        <v>1</v>
      </c>
      <c r="C87" s="233">
        <f t="shared" si="2"/>
        <v>1785.16</v>
      </c>
      <c r="D87" s="188"/>
      <c r="E87" s="233"/>
      <c r="F87" s="233">
        <v>1785.16</v>
      </c>
      <c r="G87" s="233">
        <f t="shared" si="1"/>
        <v>21421.920000000002</v>
      </c>
    </row>
    <row r="88" spans="1:7" ht="25.5" customHeight="1" x14ac:dyDescent="0.3">
      <c r="A88" s="185" t="s">
        <v>309</v>
      </c>
      <c r="B88" s="186">
        <v>12</v>
      </c>
      <c r="C88" s="233">
        <f t="shared" si="2"/>
        <v>9506.17</v>
      </c>
      <c r="D88" s="188"/>
      <c r="E88" s="233"/>
      <c r="F88" s="233">
        <v>9506.17</v>
      </c>
      <c r="G88" s="233">
        <f t="shared" si="1"/>
        <v>1368888.48</v>
      </c>
    </row>
    <row r="89" spans="1:7" ht="39.6" x14ac:dyDescent="0.3">
      <c r="A89" s="185" t="s">
        <v>310</v>
      </c>
      <c r="B89" s="186">
        <v>13</v>
      </c>
      <c r="C89" s="233">
        <f t="shared" si="2"/>
        <v>9954.2900000000009</v>
      </c>
      <c r="D89" s="188"/>
      <c r="E89" s="233"/>
      <c r="F89" s="233">
        <v>9954.2900000000009</v>
      </c>
      <c r="G89" s="233">
        <f t="shared" si="1"/>
        <v>1552869.2400000002</v>
      </c>
    </row>
    <row r="90" spans="1:7" ht="16.5" customHeight="1" x14ac:dyDescent="0.3">
      <c r="A90" s="185" t="s">
        <v>311</v>
      </c>
      <c r="B90" s="186">
        <v>4</v>
      </c>
      <c r="C90" s="233">
        <f t="shared" si="2"/>
        <v>8879.4500000000007</v>
      </c>
      <c r="D90" s="188"/>
      <c r="E90" s="233"/>
      <c r="F90" s="233">
        <v>8879.4500000000007</v>
      </c>
      <c r="G90" s="233">
        <f t="shared" si="1"/>
        <v>426213.60000000003</v>
      </c>
    </row>
    <row r="91" spans="1:7" ht="27.75" customHeight="1" x14ac:dyDescent="0.3">
      <c r="A91" s="185" t="s">
        <v>312</v>
      </c>
      <c r="B91" s="186">
        <v>9</v>
      </c>
      <c r="C91" s="233">
        <f t="shared" si="2"/>
        <v>4288.25</v>
      </c>
      <c r="D91" s="188"/>
      <c r="E91" s="233"/>
      <c r="F91" s="233">
        <v>4288.25</v>
      </c>
      <c r="G91" s="233">
        <f t="shared" si="1"/>
        <v>463131</v>
      </c>
    </row>
    <row r="92" spans="1:7" ht="26.25" customHeight="1" x14ac:dyDescent="0.3">
      <c r="A92" s="189" t="s">
        <v>313</v>
      </c>
      <c r="B92" s="186">
        <v>12</v>
      </c>
      <c r="C92" s="233">
        <f t="shared" si="2"/>
        <v>3548.52</v>
      </c>
      <c r="D92" s="188"/>
      <c r="E92" s="233"/>
      <c r="F92" s="233">
        <v>3548.52</v>
      </c>
      <c r="G92" s="233">
        <f t="shared" si="1"/>
        <v>510986.88</v>
      </c>
    </row>
    <row r="93" spans="1:7" ht="26.4" x14ac:dyDescent="0.3">
      <c r="A93" s="185" t="s">
        <v>314</v>
      </c>
      <c r="B93" s="186">
        <v>4</v>
      </c>
      <c r="C93" s="233">
        <f t="shared" si="2"/>
        <v>5573.98</v>
      </c>
      <c r="D93" s="188"/>
      <c r="E93" s="233"/>
      <c r="F93" s="233">
        <v>5573.98</v>
      </c>
      <c r="G93" s="233">
        <f t="shared" si="1"/>
        <v>267551.03999999998</v>
      </c>
    </row>
    <row r="94" spans="1:7" ht="26.4" x14ac:dyDescent="0.3">
      <c r="A94" s="185" t="s">
        <v>315</v>
      </c>
      <c r="B94" s="186">
        <v>7</v>
      </c>
      <c r="C94" s="233">
        <f t="shared" si="2"/>
        <v>4775.12</v>
      </c>
      <c r="D94" s="188"/>
      <c r="E94" s="233"/>
      <c r="F94" s="233">
        <v>4775.12</v>
      </c>
      <c r="G94" s="233">
        <f t="shared" si="1"/>
        <v>401110.07999999996</v>
      </c>
    </row>
    <row r="95" spans="1:7" x14ac:dyDescent="0.3">
      <c r="A95" s="185" t="s">
        <v>316</v>
      </c>
      <c r="B95" s="186">
        <v>8</v>
      </c>
      <c r="C95" s="233">
        <f t="shared" si="2"/>
        <v>3938.52</v>
      </c>
      <c r="D95" s="188"/>
      <c r="E95" s="233"/>
      <c r="F95" s="233">
        <v>3938.52</v>
      </c>
      <c r="G95" s="233">
        <f t="shared" si="1"/>
        <v>378097.91999999998</v>
      </c>
    </row>
    <row r="96" spans="1:7" ht="39.6" x14ac:dyDescent="0.3">
      <c r="A96" s="185" t="s">
        <v>317</v>
      </c>
      <c r="B96" s="186">
        <v>16</v>
      </c>
      <c r="C96" s="233">
        <f t="shared" si="2"/>
        <v>2954.43</v>
      </c>
      <c r="D96" s="188"/>
      <c r="E96" s="233"/>
      <c r="F96" s="233">
        <v>2954.43</v>
      </c>
      <c r="G96" s="233">
        <f t="shared" si="1"/>
        <v>567250.55999999994</v>
      </c>
    </row>
    <row r="97" spans="1:7" ht="26.4" x14ac:dyDescent="0.3">
      <c r="A97" s="185" t="s">
        <v>318</v>
      </c>
      <c r="B97" s="186">
        <v>7</v>
      </c>
      <c r="C97" s="233">
        <f t="shared" si="2"/>
        <v>2725.57</v>
      </c>
      <c r="D97" s="188"/>
      <c r="E97" s="233"/>
      <c r="F97" s="233">
        <v>2725.57</v>
      </c>
      <c r="G97" s="233">
        <f t="shared" si="1"/>
        <v>228947.88</v>
      </c>
    </row>
    <row r="98" spans="1:7" ht="26.4" x14ac:dyDescent="0.3">
      <c r="A98" s="185" t="s">
        <v>319</v>
      </c>
      <c r="B98" s="186">
        <v>6</v>
      </c>
      <c r="C98" s="233">
        <f t="shared" si="2"/>
        <v>2515.4299999999998</v>
      </c>
      <c r="D98" s="188"/>
      <c r="E98" s="233"/>
      <c r="F98" s="233">
        <v>2515.4299999999998</v>
      </c>
      <c r="G98" s="233">
        <f t="shared" si="1"/>
        <v>181110.95999999996</v>
      </c>
    </row>
    <row r="99" spans="1:7" ht="39.6" x14ac:dyDescent="0.3">
      <c r="A99" s="185" t="s">
        <v>320</v>
      </c>
      <c r="B99" s="186">
        <v>1</v>
      </c>
      <c r="C99" s="233">
        <f t="shared" si="2"/>
        <v>1903.54</v>
      </c>
      <c r="D99" s="188"/>
      <c r="E99" s="233"/>
      <c r="F99" s="233">
        <v>1903.54</v>
      </c>
      <c r="G99" s="233">
        <f t="shared" si="1"/>
        <v>22842.48</v>
      </c>
    </row>
    <row r="100" spans="1:7" x14ac:dyDescent="0.3">
      <c r="A100" s="189" t="s">
        <v>321</v>
      </c>
      <c r="B100" s="186">
        <v>1</v>
      </c>
      <c r="C100" s="233">
        <f t="shared" si="2"/>
        <v>1865.98</v>
      </c>
      <c r="D100" s="188"/>
      <c r="E100" s="233"/>
      <c r="F100" s="233">
        <v>1865.98</v>
      </c>
      <c r="G100" s="233">
        <f t="shared" si="1"/>
        <v>22391.760000000002</v>
      </c>
    </row>
    <row r="101" spans="1:7" x14ac:dyDescent="0.3">
      <c r="A101" s="189" t="s">
        <v>322</v>
      </c>
      <c r="B101" s="186">
        <v>2</v>
      </c>
      <c r="C101" s="233">
        <f t="shared" si="2"/>
        <v>1756.21</v>
      </c>
      <c r="D101" s="188"/>
      <c r="E101" s="233"/>
      <c r="F101" s="233">
        <v>1756.21</v>
      </c>
      <c r="G101" s="233">
        <f t="shared" si="1"/>
        <v>42149.04</v>
      </c>
    </row>
    <row r="102" spans="1:7" ht="18" customHeight="1" x14ac:dyDescent="0.3">
      <c r="A102" s="189" t="s">
        <v>323</v>
      </c>
      <c r="B102" s="186">
        <v>1</v>
      </c>
      <c r="C102" s="233">
        <f t="shared" si="2"/>
        <v>1738.54</v>
      </c>
      <c r="D102" s="188"/>
      <c r="E102" s="233"/>
      <c r="F102" s="233">
        <v>1738.54</v>
      </c>
      <c r="G102" s="233">
        <f t="shared" si="1"/>
        <v>20862.48</v>
      </c>
    </row>
    <row r="103" spans="1:7" ht="26.4" x14ac:dyDescent="0.3">
      <c r="A103" s="185" t="s">
        <v>324</v>
      </c>
      <c r="B103" s="186">
        <v>1</v>
      </c>
      <c r="C103" s="233">
        <f t="shared" si="2"/>
        <v>1326.97</v>
      </c>
      <c r="D103" s="188"/>
      <c r="E103" s="233"/>
      <c r="F103" s="233">
        <v>1326.97</v>
      </c>
      <c r="G103" s="233">
        <f t="shared" si="1"/>
        <v>15923.64</v>
      </c>
    </row>
    <row r="104" spans="1:7" x14ac:dyDescent="0.3">
      <c r="A104" s="189" t="s">
        <v>325</v>
      </c>
      <c r="B104" s="186">
        <v>2</v>
      </c>
      <c r="C104" s="233">
        <f t="shared" ref="C104:C114" si="5">SUM(D104:F104)</f>
        <v>1802.45</v>
      </c>
      <c r="D104" s="188"/>
      <c r="E104" s="233"/>
      <c r="F104" s="233">
        <v>1802.45</v>
      </c>
      <c r="G104" s="233">
        <f t="shared" si="1"/>
        <v>43258.8</v>
      </c>
    </row>
    <row r="105" spans="1:7" x14ac:dyDescent="0.3">
      <c r="A105" s="189" t="s">
        <v>327</v>
      </c>
      <c r="B105" s="186">
        <v>1</v>
      </c>
      <c r="C105" s="233">
        <f t="shared" si="5"/>
        <v>1859.87</v>
      </c>
      <c r="D105" s="188"/>
      <c r="E105" s="233"/>
      <c r="F105" s="233">
        <v>1859.87</v>
      </c>
      <c r="G105" s="233">
        <f t="shared" si="1"/>
        <v>22318.44</v>
      </c>
    </row>
    <row r="106" spans="1:7" ht="16.5" customHeight="1" x14ac:dyDescent="0.3">
      <c r="A106" s="189" t="s">
        <v>328</v>
      </c>
      <c r="B106" s="186">
        <v>4</v>
      </c>
      <c r="C106" s="233">
        <f t="shared" si="5"/>
        <v>1839.36</v>
      </c>
      <c r="D106" s="188"/>
      <c r="E106" s="233"/>
      <c r="F106" s="233">
        <v>1839.36</v>
      </c>
      <c r="G106" s="233">
        <f t="shared" si="1"/>
        <v>88289.279999999999</v>
      </c>
    </row>
    <row r="107" spans="1:7" ht="26.4" x14ac:dyDescent="0.3">
      <c r="A107" s="185" t="s">
        <v>329</v>
      </c>
      <c r="B107" s="186">
        <v>1</v>
      </c>
      <c r="C107" s="233">
        <f t="shared" si="5"/>
        <v>1873.54</v>
      </c>
      <c r="D107" s="188"/>
      <c r="E107" s="233"/>
      <c r="F107" s="233">
        <v>1873.54</v>
      </c>
      <c r="G107" s="233">
        <f t="shared" si="1"/>
        <v>22482.48</v>
      </c>
    </row>
    <row r="108" spans="1:7" x14ac:dyDescent="0.3">
      <c r="A108" s="189" t="s">
        <v>330</v>
      </c>
      <c r="B108" s="186">
        <v>2.5</v>
      </c>
      <c r="C108" s="233">
        <f t="shared" si="5"/>
        <v>1720.36</v>
      </c>
      <c r="D108" s="188"/>
      <c r="E108" s="233"/>
      <c r="F108" s="233">
        <v>1720.36</v>
      </c>
      <c r="G108" s="233">
        <f t="shared" si="1"/>
        <v>51610.799999999996</v>
      </c>
    </row>
    <row r="109" spans="1:7" ht="26.4" x14ac:dyDescent="0.3">
      <c r="A109" s="185" t="s">
        <v>331</v>
      </c>
      <c r="B109" s="186">
        <v>1</v>
      </c>
      <c r="C109" s="233">
        <f t="shared" si="5"/>
        <v>1873.54</v>
      </c>
      <c r="D109" s="188"/>
      <c r="E109" s="233"/>
      <c r="F109" s="233">
        <v>1873.54</v>
      </c>
      <c r="G109" s="233">
        <f t="shared" si="1"/>
        <v>22482.48</v>
      </c>
    </row>
    <row r="110" spans="1:7" x14ac:dyDescent="0.3">
      <c r="A110" s="185" t="s">
        <v>332</v>
      </c>
      <c r="B110" s="186">
        <v>1</v>
      </c>
      <c r="C110" s="233">
        <f t="shared" si="5"/>
        <v>1773.54</v>
      </c>
      <c r="D110" s="188"/>
      <c r="E110" s="233"/>
      <c r="F110" s="233">
        <v>1773.54</v>
      </c>
      <c r="G110" s="233">
        <f t="shared" si="1"/>
        <v>21282.48</v>
      </c>
    </row>
    <row r="111" spans="1:7" x14ac:dyDescent="0.3">
      <c r="A111" s="189" t="s">
        <v>333</v>
      </c>
      <c r="B111" s="186">
        <v>2</v>
      </c>
      <c r="C111" s="233">
        <f t="shared" si="5"/>
        <v>1670.36</v>
      </c>
      <c r="D111" s="188"/>
      <c r="E111" s="233"/>
      <c r="F111" s="233">
        <v>1670.36</v>
      </c>
      <c r="G111" s="233">
        <f t="shared" si="1"/>
        <v>40088.639999999999</v>
      </c>
    </row>
    <row r="112" spans="1:7" x14ac:dyDescent="0.3">
      <c r="A112" s="189" t="s">
        <v>334</v>
      </c>
      <c r="B112" s="186">
        <v>2</v>
      </c>
      <c r="C112" s="233">
        <f t="shared" si="5"/>
        <v>1659.36</v>
      </c>
      <c r="D112" s="188"/>
      <c r="E112" s="233"/>
      <c r="F112" s="233">
        <v>1659.36</v>
      </c>
      <c r="G112" s="233">
        <f t="shared" si="1"/>
        <v>39824.639999999999</v>
      </c>
    </row>
    <row r="113" spans="1:7" x14ac:dyDescent="0.3">
      <c r="A113" s="189" t="s">
        <v>335</v>
      </c>
      <c r="B113" s="186">
        <v>2</v>
      </c>
      <c r="C113" s="233">
        <f t="shared" si="5"/>
        <v>1623.04</v>
      </c>
      <c r="D113" s="188"/>
      <c r="E113" s="233"/>
      <c r="F113" s="233">
        <v>1623.04</v>
      </c>
      <c r="G113" s="233">
        <f>C113*1*12</f>
        <v>19476.48</v>
      </c>
    </row>
    <row r="114" spans="1:7" x14ac:dyDescent="0.3">
      <c r="A114" s="189" t="s">
        <v>449</v>
      </c>
      <c r="B114" s="186">
        <v>1</v>
      </c>
      <c r="C114" s="233">
        <f t="shared" si="5"/>
        <v>1623.04</v>
      </c>
      <c r="D114" s="188"/>
      <c r="E114" s="233"/>
      <c r="F114" s="233">
        <v>1623.04</v>
      </c>
      <c r="G114" s="233">
        <f t="shared" si="1"/>
        <v>19476.48</v>
      </c>
    </row>
    <row r="115" spans="1:7" ht="39.6" x14ac:dyDescent="0.3">
      <c r="A115" s="185" t="s">
        <v>336</v>
      </c>
      <c r="B115" s="186">
        <v>1</v>
      </c>
      <c r="C115" s="233">
        <f>SUM(D115:F115)</f>
        <v>1893.54</v>
      </c>
      <c r="D115" s="188"/>
      <c r="E115" s="233"/>
      <c r="F115" s="233">
        <v>1893.54</v>
      </c>
      <c r="G115" s="233">
        <f>C115*B115*12</f>
        <v>22722.48</v>
      </c>
    </row>
    <row r="116" spans="1:7" ht="19.5" customHeight="1" x14ac:dyDescent="0.3">
      <c r="A116" s="189" t="s">
        <v>337</v>
      </c>
      <c r="B116" s="186">
        <v>2</v>
      </c>
      <c r="C116" s="233">
        <f>SUM(D116:F116)</f>
        <v>1828.12</v>
      </c>
      <c r="D116" s="188"/>
      <c r="E116" s="233"/>
      <c r="F116" s="233">
        <v>1828.12</v>
      </c>
      <c r="G116" s="233">
        <f>C116*B116*12</f>
        <v>43874.879999999997</v>
      </c>
    </row>
    <row r="117" spans="1:7" x14ac:dyDescent="0.3">
      <c r="A117" s="185" t="s">
        <v>338</v>
      </c>
      <c r="B117" s="186">
        <v>4</v>
      </c>
      <c r="C117" s="233">
        <f>SUM(D117:F117)</f>
        <v>1510.65</v>
      </c>
      <c r="D117" s="188"/>
      <c r="E117" s="233"/>
      <c r="F117" s="233">
        <v>1510.65</v>
      </c>
      <c r="G117" s="233">
        <f>C117*B117*12</f>
        <v>72511.200000000012</v>
      </c>
    </row>
    <row r="118" spans="1:7" x14ac:dyDescent="0.3">
      <c r="A118" s="189" t="s">
        <v>339</v>
      </c>
      <c r="B118" s="186">
        <v>1</v>
      </c>
      <c r="C118" s="233">
        <f>SUM(D118:F118)</f>
        <v>1566.21</v>
      </c>
      <c r="D118" s="188"/>
      <c r="E118" s="233"/>
      <c r="F118" s="233">
        <v>1566.21</v>
      </c>
      <c r="G118" s="233">
        <f>C118*B118*12</f>
        <v>18794.52</v>
      </c>
    </row>
    <row r="119" spans="1:7" x14ac:dyDescent="0.3">
      <c r="A119" s="189" t="s">
        <v>340</v>
      </c>
      <c r="B119" s="186">
        <v>0.5</v>
      </c>
      <c r="C119" s="233">
        <f>SUM(D119:F119)</f>
        <v>1566.21</v>
      </c>
      <c r="D119" s="188"/>
      <c r="E119" s="233"/>
      <c r="F119" s="233">
        <v>1566.21</v>
      </c>
      <c r="G119" s="233">
        <f>C119*B119*12</f>
        <v>9397.26</v>
      </c>
    </row>
    <row r="120" spans="1:7" ht="17.25" customHeight="1" x14ac:dyDescent="0.3">
      <c r="A120" s="185" t="s">
        <v>341</v>
      </c>
      <c r="B120" s="186">
        <v>1</v>
      </c>
      <c r="C120" s="233">
        <f t="shared" ref="C120:C138" si="6">SUM(D120:F120)</f>
        <v>1903.54</v>
      </c>
      <c r="D120" s="188"/>
      <c r="E120" s="233"/>
      <c r="F120" s="233">
        <v>1903.54</v>
      </c>
      <c r="G120" s="233">
        <f t="shared" ref="G120:G138" si="7">C120*B120*12</f>
        <v>22842.48</v>
      </c>
    </row>
    <row r="121" spans="1:7" x14ac:dyDescent="0.3">
      <c r="A121" s="189" t="s">
        <v>342</v>
      </c>
      <c r="B121" s="186">
        <v>4</v>
      </c>
      <c r="C121" s="233">
        <f t="shared" si="6"/>
        <v>1896.21</v>
      </c>
      <c r="D121" s="188"/>
      <c r="E121" s="233"/>
      <c r="F121" s="233">
        <v>1896.21</v>
      </c>
      <c r="G121" s="233">
        <f t="shared" si="7"/>
        <v>91018.08</v>
      </c>
    </row>
    <row r="122" spans="1:7" x14ac:dyDescent="0.3">
      <c r="A122" s="189" t="s">
        <v>343</v>
      </c>
      <c r="B122" s="186">
        <v>2</v>
      </c>
      <c r="C122" s="233">
        <f t="shared" si="6"/>
        <v>1856.32</v>
      </c>
      <c r="D122" s="188"/>
      <c r="E122" s="233"/>
      <c r="F122" s="233">
        <v>1856.32</v>
      </c>
      <c r="G122" s="233">
        <f t="shared" si="7"/>
        <v>44551.68</v>
      </c>
    </row>
    <row r="123" spans="1:7" x14ac:dyDescent="0.3">
      <c r="A123" s="189" t="s">
        <v>344</v>
      </c>
      <c r="B123" s="186">
        <v>1.5</v>
      </c>
      <c r="C123" s="233">
        <f t="shared" si="6"/>
        <v>1734.98</v>
      </c>
      <c r="D123" s="188"/>
      <c r="E123" s="233"/>
      <c r="F123" s="233">
        <v>1734.98</v>
      </c>
      <c r="G123" s="233">
        <f t="shared" si="7"/>
        <v>31229.640000000003</v>
      </c>
    </row>
    <row r="124" spans="1:7" ht="26.4" x14ac:dyDescent="0.3">
      <c r="A124" s="185" t="s">
        <v>345</v>
      </c>
      <c r="B124" s="186">
        <v>1</v>
      </c>
      <c r="C124" s="233">
        <f t="shared" si="6"/>
        <v>1775.68</v>
      </c>
      <c r="D124" s="188"/>
      <c r="E124" s="233"/>
      <c r="F124" s="233">
        <f>1775.68</f>
        <v>1775.68</v>
      </c>
      <c r="G124" s="233">
        <f t="shared" si="7"/>
        <v>21308.16</v>
      </c>
    </row>
    <row r="125" spans="1:7" ht="17.25" customHeight="1" x14ac:dyDescent="0.3">
      <c r="A125" s="189" t="s">
        <v>346</v>
      </c>
      <c r="B125" s="186">
        <v>1</v>
      </c>
      <c r="C125" s="233">
        <f t="shared" si="6"/>
        <v>1693.54</v>
      </c>
      <c r="D125" s="188"/>
      <c r="E125" s="233"/>
      <c r="F125" s="233">
        <v>1693.54</v>
      </c>
      <c r="G125" s="233">
        <f t="shared" si="7"/>
        <v>20322.48</v>
      </c>
    </row>
    <row r="126" spans="1:7" x14ac:dyDescent="0.3">
      <c r="A126" s="189" t="s">
        <v>347</v>
      </c>
      <c r="B126" s="186">
        <v>1</v>
      </c>
      <c r="C126" s="233">
        <f t="shared" si="6"/>
        <v>1544.75</v>
      </c>
      <c r="D126" s="188"/>
      <c r="E126" s="233"/>
      <c r="F126" s="233">
        <v>1544.75</v>
      </c>
      <c r="G126" s="233">
        <f t="shared" si="7"/>
        <v>18537</v>
      </c>
    </row>
    <row r="127" spans="1:7" x14ac:dyDescent="0.3">
      <c r="A127" s="191" t="s">
        <v>348</v>
      </c>
      <c r="B127" s="186">
        <v>1</v>
      </c>
      <c r="C127" s="233">
        <f t="shared" si="6"/>
        <v>1537.01</v>
      </c>
      <c r="D127" s="188"/>
      <c r="E127" s="233"/>
      <c r="F127" s="233">
        <v>1537.01</v>
      </c>
      <c r="G127" s="233">
        <f t="shared" si="7"/>
        <v>18444.12</v>
      </c>
    </row>
    <row r="128" spans="1:7" ht="47.25" customHeight="1" x14ac:dyDescent="0.3">
      <c r="A128" s="189" t="s">
        <v>349</v>
      </c>
      <c r="B128" s="186">
        <v>4</v>
      </c>
      <c r="C128" s="233">
        <f t="shared" si="6"/>
        <v>1529.86</v>
      </c>
      <c r="D128" s="188"/>
      <c r="E128" s="233"/>
      <c r="F128" s="233">
        <v>1529.86</v>
      </c>
      <c r="G128" s="233">
        <f t="shared" si="7"/>
        <v>73433.279999999999</v>
      </c>
    </row>
    <row r="129" spans="1:8" x14ac:dyDescent="0.3">
      <c r="A129" s="189" t="s">
        <v>350</v>
      </c>
      <c r="B129" s="186">
        <v>3</v>
      </c>
      <c r="C129" s="233">
        <f t="shared" si="6"/>
        <v>1368.89</v>
      </c>
      <c r="D129" s="188"/>
      <c r="E129" s="233"/>
      <c r="F129" s="233">
        <v>1368.89</v>
      </c>
      <c r="G129" s="233">
        <f t="shared" si="7"/>
        <v>49280.04</v>
      </c>
    </row>
    <row r="130" spans="1:8" ht="26.4" x14ac:dyDescent="0.3">
      <c r="A130" s="185" t="s">
        <v>386</v>
      </c>
      <c r="B130" s="186">
        <v>10.5</v>
      </c>
      <c r="C130" s="233">
        <f t="shared" si="6"/>
        <v>1224.6500000000001</v>
      </c>
      <c r="D130" s="188"/>
      <c r="E130" s="233"/>
      <c r="F130" s="233">
        <v>1224.6500000000001</v>
      </c>
      <c r="G130" s="233">
        <f t="shared" si="7"/>
        <v>154305.90000000002</v>
      </c>
    </row>
    <row r="131" spans="1:8" x14ac:dyDescent="0.3">
      <c r="A131" s="189" t="s">
        <v>351</v>
      </c>
      <c r="B131" s="186">
        <v>1.5</v>
      </c>
      <c r="C131" s="233">
        <f t="shared" si="6"/>
        <v>1122.58</v>
      </c>
      <c r="D131" s="188"/>
      <c r="E131" s="233"/>
      <c r="F131" s="233">
        <v>1122.58</v>
      </c>
      <c r="G131" s="233">
        <f t="shared" si="7"/>
        <v>20206.439999999999</v>
      </c>
    </row>
    <row r="132" spans="1:8" ht="26.4" x14ac:dyDescent="0.3">
      <c r="A132" s="192" t="s">
        <v>352</v>
      </c>
      <c r="B132" s="193">
        <v>1</v>
      </c>
      <c r="C132" s="233">
        <f t="shared" si="6"/>
        <v>1238.8599999999999</v>
      </c>
      <c r="D132" s="194"/>
      <c r="E132" s="233"/>
      <c r="F132" s="233">
        <v>1238.8599999999999</v>
      </c>
      <c r="G132" s="233">
        <f t="shared" si="7"/>
        <v>14866.32</v>
      </c>
    </row>
    <row r="133" spans="1:8" x14ac:dyDescent="0.3">
      <c r="A133" s="192" t="s">
        <v>353</v>
      </c>
      <c r="B133" s="193">
        <v>1</v>
      </c>
      <c r="C133" s="233">
        <f t="shared" si="6"/>
        <v>1228.8900000000001</v>
      </c>
      <c r="D133" s="194"/>
      <c r="E133" s="233"/>
      <c r="F133" s="233">
        <v>1228.8900000000001</v>
      </c>
      <c r="G133" s="233">
        <f t="shared" si="7"/>
        <v>14746.68</v>
      </c>
    </row>
    <row r="134" spans="1:8" x14ac:dyDescent="0.3">
      <c r="A134" s="192" t="s">
        <v>354</v>
      </c>
      <c r="B134" s="193">
        <v>2</v>
      </c>
      <c r="C134" s="233">
        <f t="shared" si="6"/>
        <v>1224.6500000000001</v>
      </c>
      <c r="D134" s="194"/>
      <c r="E134" s="233"/>
      <c r="F134" s="233">
        <v>1224.6500000000001</v>
      </c>
      <c r="G134" s="233">
        <f t="shared" si="7"/>
        <v>29391.600000000002</v>
      </c>
    </row>
    <row r="135" spans="1:8" ht="19.5" customHeight="1" x14ac:dyDescent="0.3">
      <c r="A135" s="192" t="s">
        <v>355</v>
      </c>
      <c r="B135" s="193">
        <v>1</v>
      </c>
      <c r="C135" s="233">
        <f t="shared" si="6"/>
        <v>1264.6500000000001</v>
      </c>
      <c r="D135" s="194"/>
      <c r="E135" s="233"/>
      <c r="F135" s="233">
        <v>1264.6500000000001</v>
      </c>
      <c r="G135" s="233">
        <f t="shared" si="7"/>
        <v>15175.800000000001</v>
      </c>
    </row>
    <row r="136" spans="1:8" x14ac:dyDescent="0.3">
      <c r="A136" s="189" t="s">
        <v>356</v>
      </c>
      <c r="B136" s="186">
        <v>1</v>
      </c>
      <c r="C136" s="233">
        <f t="shared" si="6"/>
        <v>1328.67</v>
      </c>
      <c r="D136" s="188"/>
      <c r="E136" s="233"/>
      <c r="F136" s="233">
        <v>1328.67</v>
      </c>
      <c r="G136" s="233">
        <f t="shared" si="7"/>
        <v>15944.04</v>
      </c>
    </row>
    <row r="137" spans="1:8" x14ac:dyDescent="0.3">
      <c r="A137" s="189" t="s">
        <v>357</v>
      </c>
      <c r="B137" s="186">
        <v>3</v>
      </c>
      <c r="C137" s="233">
        <f t="shared" si="6"/>
        <v>1326.47</v>
      </c>
      <c r="D137" s="188"/>
      <c r="E137" s="233"/>
      <c r="F137" s="233">
        <v>1326.47</v>
      </c>
      <c r="G137" s="233">
        <f t="shared" si="7"/>
        <v>47752.92</v>
      </c>
      <c r="H137" s="44"/>
    </row>
    <row r="138" spans="1:8" x14ac:dyDescent="0.3">
      <c r="A138" s="189" t="s">
        <v>380</v>
      </c>
      <c r="B138" s="186">
        <v>1</v>
      </c>
      <c r="C138" s="233">
        <f t="shared" si="6"/>
        <v>1433.56</v>
      </c>
      <c r="D138" s="188"/>
      <c r="E138" s="233"/>
      <c r="F138" s="233">
        <f>1293.56+140</f>
        <v>1433.56</v>
      </c>
      <c r="G138" s="233">
        <f t="shared" si="7"/>
        <v>17202.72</v>
      </c>
    </row>
    <row r="139" spans="1:8" x14ac:dyDescent="0.3">
      <c r="A139" s="236" t="s">
        <v>361</v>
      </c>
      <c r="B139" s="237">
        <f>SUM(B46:B138)</f>
        <v>222</v>
      </c>
      <c r="C139" s="514"/>
      <c r="D139" s="514"/>
      <c r="E139" s="514"/>
      <c r="F139" s="514"/>
      <c r="G139" s="238">
        <f>SUM(G46:G138)</f>
        <v>9608877.9400000013</v>
      </c>
    </row>
    <row r="140" spans="1:8" x14ac:dyDescent="0.3">
      <c r="A140" s="189" t="s">
        <v>450</v>
      </c>
      <c r="B140" s="195">
        <v>1</v>
      </c>
      <c r="C140" s="233">
        <f>SUM(D140:F140)</f>
        <v>14001.29</v>
      </c>
      <c r="D140" s="233">
        <v>12760</v>
      </c>
      <c r="E140" s="233"/>
      <c r="F140" s="233">
        <v>1241.29</v>
      </c>
      <c r="G140" s="199">
        <f>C140*B140*12</f>
        <v>168015.48</v>
      </c>
    </row>
    <row r="141" spans="1:8" ht="18" customHeight="1" x14ac:dyDescent="0.3">
      <c r="A141" s="196" t="s">
        <v>381</v>
      </c>
      <c r="B141" s="197">
        <v>3</v>
      </c>
      <c r="C141" s="233">
        <f t="shared" ref="C141:C145" si="8">SUM(D141:F141)</f>
        <v>12792</v>
      </c>
      <c r="D141" s="233"/>
      <c r="E141" s="233"/>
      <c r="F141" s="233">
        <v>12792</v>
      </c>
      <c r="G141" s="233">
        <f>B141*C141*4-0.01</f>
        <v>153503.99</v>
      </c>
    </row>
    <row r="142" spans="1:8" x14ac:dyDescent="0.3">
      <c r="A142" s="196" t="s">
        <v>354</v>
      </c>
      <c r="B142" s="197">
        <v>1</v>
      </c>
      <c r="C142" s="198">
        <f t="shared" si="8"/>
        <v>12792</v>
      </c>
      <c r="D142" s="198">
        <v>10770</v>
      </c>
      <c r="E142" s="233"/>
      <c r="F142" s="233">
        <v>2022</v>
      </c>
      <c r="G142" s="233">
        <f t="shared" ref="G142:G145" si="9">C142*B142*4</f>
        <v>51168</v>
      </c>
    </row>
    <row r="143" spans="1:8" ht="39.6" customHeight="1" x14ac:dyDescent="0.3">
      <c r="A143" s="196" t="s">
        <v>383</v>
      </c>
      <c r="B143" s="197">
        <v>0.5</v>
      </c>
      <c r="C143" s="198">
        <f t="shared" si="8"/>
        <v>12792</v>
      </c>
      <c r="D143" s="198">
        <v>10310</v>
      </c>
      <c r="E143" s="233"/>
      <c r="F143" s="233">
        <v>2482</v>
      </c>
      <c r="G143" s="233">
        <f t="shared" si="9"/>
        <v>25584</v>
      </c>
    </row>
    <row r="144" spans="1:8" ht="15" customHeight="1" x14ac:dyDescent="0.3">
      <c r="A144" s="196" t="s">
        <v>384</v>
      </c>
      <c r="B144" s="197">
        <v>1</v>
      </c>
      <c r="C144" s="198">
        <f t="shared" si="8"/>
        <v>12792</v>
      </c>
      <c r="D144" s="198">
        <v>11240</v>
      </c>
      <c r="E144" s="233"/>
      <c r="F144" s="233">
        <v>1552</v>
      </c>
      <c r="G144" s="233">
        <f t="shared" si="9"/>
        <v>51168</v>
      </c>
    </row>
    <row r="145" spans="1:7" ht="41.4" x14ac:dyDescent="0.3">
      <c r="A145" s="196" t="s">
        <v>385</v>
      </c>
      <c r="B145" s="197">
        <v>1</v>
      </c>
      <c r="C145" s="198">
        <f t="shared" si="8"/>
        <v>12792</v>
      </c>
      <c r="D145" s="198">
        <v>11240</v>
      </c>
      <c r="E145" s="233"/>
      <c r="F145" s="233">
        <v>1552</v>
      </c>
      <c r="G145" s="233">
        <f t="shared" si="9"/>
        <v>51168</v>
      </c>
    </row>
    <row r="146" spans="1:7" x14ac:dyDescent="0.3">
      <c r="A146" s="236" t="s">
        <v>361</v>
      </c>
      <c r="B146" s="237">
        <f>SUM(B140:B145)</f>
        <v>7.5</v>
      </c>
      <c r="C146" s="297"/>
      <c r="D146" s="297"/>
      <c r="E146" s="297"/>
      <c r="F146" s="297"/>
      <c r="G146" s="238">
        <f>SUM(G140:G145)</f>
        <v>500607.47</v>
      </c>
    </row>
    <row r="147" spans="1:7" ht="16.5" customHeight="1" x14ac:dyDescent="0.3">
      <c r="A147" s="189" t="s">
        <v>1</v>
      </c>
      <c r="B147" s="195">
        <f>B139+B146</f>
        <v>229.5</v>
      </c>
      <c r="C147" s="195"/>
      <c r="D147" s="195"/>
      <c r="E147" s="195"/>
      <c r="F147" s="195"/>
      <c r="G147" s="199">
        <f>G139+G146</f>
        <v>10109485.410000002</v>
      </c>
    </row>
    <row r="148" spans="1:7" ht="0.75" customHeight="1" x14ac:dyDescent="0.3">
      <c r="A148" s="294" t="s">
        <v>145</v>
      </c>
      <c r="B148" s="294"/>
      <c r="C148" s="295"/>
      <c r="D148" s="295"/>
      <c r="E148" s="295"/>
      <c r="F148" s="295"/>
      <c r="G148" s="179">
        <f>'платные на 2023-2024 год'!D31+'платные на 2023-2024 год'!D68</f>
        <v>10109485.41</v>
      </c>
    </row>
    <row r="149" spans="1:7" ht="18" customHeight="1" x14ac:dyDescent="0.3">
      <c r="A149" s="6"/>
    </row>
    <row r="150" spans="1:7" ht="39.6" customHeight="1" x14ac:dyDescent="0.3">
      <c r="A150" s="415" t="s">
        <v>179</v>
      </c>
      <c r="B150" s="415"/>
      <c r="C150" s="415"/>
      <c r="D150" s="415"/>
      <c r="E150" s="415"/>
      <c r="F150" s="415"/>
      <c r="G150" s="415"/>
    </row>
    <row r="151" spans="1:7" ht="17.399999999999999" x14ac:dyDescent="0.3">
      <c r="A151" s="293"/>
      <c r="B151" s="293"/>
      <c r="C151" s="293"/>
      <c r="D151" s="293"/>
      <c r="E151" s="293"/>
      <c r="F151" s="293"/>
      <c r="G151" s="293"/>
    </row>
    <row r="152" spans="1:7" ht="18" x14ac:dyDescent="0.35">
      <c r="A152" s="7" t="s">
        <v>144</v>
      </c>
      <c r="B152" s="8">
        <v>119</v>
      </c>
    </row>
    <row r="153" spans="1:7" ht="15" x14ac:dyDescent="0.3">
      <c r="A153" s="9"/>
    </row>
    <row r="154" spans="1:7" x14ac:dyDescent="0.3">
      <c r="A154" s="437" t="s">
        <v>83</v>
      </c>
      <c r="B154" s="428" t="s">
        <v>243</v>
      </c>
      <c r="C154" s="429"/>
      <c r="D154" s="428" t="s">
        <v>184</v>
      </c>
      <c r="E154" s="429"/>
      <c r="F154" s="428" t="s">
        <v>84</v>
      </c>
      <c r="G154" s="429"/>
    </row>
    <row r="155" spans="1:7" ht="23.25" customHeight="1" x14ac:dyDescent="0.3">
      <c r="A155" s="550"/>
      <c r="B155" s="551"/>
      <c r="C155" s="552"/>
      <c r="D155" s="551"/>
      <c r="E155" s="552"/>
      <c r="F155" s="551"/>
      <c r="G155" s="552"/>
    </row>
    <row r="156" spans="1:7" ht="28.5" customHeight="1" x14ac:dyDescent="0.3">
      <c r="A156" s="294">
        <v>1</v>
      </c>
      <c r="B156" s="408">
        <v>2</v>
      </c>
      <c r="C156" s="410"/>
      <c r="D156" s="408">
        <v>3</v>
      </c>
      <c r="E156" s="410"/>
      <c r="F156" s="408">
        <v>4</v>
      </c>
      <c r="G156" s="410"/>
    </row>
    <row r="157" spans="1:7" ht="29.25" customHeight="1" x14ac:dyDescent="0.3">
      <c r="A157" s="294">
        <f>B146</f>
        <v>7.5</v>
      </c>
      <c r="B157" s="452">
        <f>D157+F157</f>
        <v>650741.47593999992</v>
      </c>
      <c r="C157" s="453"/>
      <c r="D157" s="452">
        <f>G146</f>
        <v>500607.47</v>
      </c>
      <c r="E157" s="453"/>
      <c r="F157" s="452">
        <f>(D157-3475)*30.2%</f>
        <v>150134.00593999997</v>
      </c>
      <c r="G157" s="453"/>
    </row>
    <row r="158" spans="1:7" ht="18" x14ac:dyDescent="0.3">
      <c r="A158" s="294">
        <f>B139</f>
        <v>222</v>
      </c>
      <c r="B158" s="452">
        <f>D158+F158</f>
        <v>12504258.527880002</v>
      </c>
      <c r="C158" s="453"/>
      <c r="D158" s="452">
        <f>G139</f>
        <v>9608877.9400000013</v>
      </c>
      <c r="E158" s="453"/>
      <c r="F158" s="452">
        <f>(D158-21525)*30.2%</f>
        <v>2895380.5878800005</v>
      </c>
      <c r="G158" s="453"/>
    </row>
    <row r="159" spans="1:7" ht="18" x14ac:dyDescent="0.3">
      <c r="A159" s="115">
        <f>A157+A158</f>
        <v>229.5</v>
      </c>
      <c r="B159" s="417">
        <f>'платные на 2023-2024 год'!D31+'платные на 2023-2024 год'!D33+'платные на 2023-2024 год'!D68</f>
        <v>13155000</v>
      </c>
      <c r="C159" s="417"/>
      <c r="D159" s="417">
        <f>G148</f>
        <v>10109485.41</v>
      </c>
      <c r="E159" s="417"/>
      <c r="F159" s="417">
        <f>B159-D159</f>
        <v>3045514.59</v>
      </c>
      <c r="G159" s="417"/>
    </row>
    <row r="160" spans="1:7" ht="17.399999999999999" x14ac:dyDescent="0.3">
      <c r="A160" s="6"/>
    </row>
    <row r="161" spans="1:7" ht="17.399999999999999" x14ac:dyDescent="0.3">
      <c r="A161" s="424" t="s">
        <v>202</v>
      </c>
      <c r="B161" s="424"/>
      <c r="C161" s="424"/>
      <c r="D161" s="424"/>
      <c r="E161" s="424"/>
      <c r="F161" s="424"/>
      <c r="G161" s="424"/>
    </row>
    <row r="162" spans="1:7" ht="18" x14ac:dyDescent="0.3">
      <c r="A162" s="7"/>
    </row>
    <row r="163" spans="1:7" ht="18" x14ac:dyDescent="0.35">
      <c r="A163" s="7" t="s">
        <v>146</v>
      </c>
      <c r="B163" s="8">
        <v>112</v>
      </c>
    </row>
    <row r="164" spans="1:7" ht="15" x14ac:dyDescent="0.3">
      <c r="A164" s="9"/>
    </row>
    <row r="165" spans="1:7" ht="54" x14ac:dyDescent="0.3">
      <c r="A165" s="97" t="s">
        <v>85</v>
      </c>
      <c r="B165" s="97" t="s">
        <v>86</v>
      </c>
      <c r="C165" s="416" t="s">
        <v>87</v>
      </c>
      <c r="D165" s="416"/>
      <c r="E165" s="97" t="s">
        <v>88</v>
      </c>
      <c r="F165" s="416" t="s">
        <v>89</v>
      </c>
      <c r="G165" s="416"/>
    </row>
    <row r="166" spans="1:7" ht="18" x14ac:dyDescent="0.3">
      <c r="A166" s="97">
        <v>1</v>
      </c>
      <c r="B166" s="97">
        <v>2</v>
      </c>
      <c r="C166" s="416">
        <v>3</v>
      </c>
      <c r="D166" s="416"/>
      <c r="E166" s="97">
        <v>4</v>
      </c>
      <c r="F166" s="416">
        <v>5</v>
      </c>
      <c r="G166" s="416"/>
    </row>
    <row r="167" spans="1:7" ht="18" x14ac:dyDescent="0.3">
      <c r="A167" s="11" t="s">
        <v>90</v>
      </c>
      <c r="B167" s="115">
        <v>60</v>
      </c>
      <c r="C167" s="417">
        <v>300</v>
      </c>
      <c r="D167" s="417"/>
      <c r="E167" s="115">
        <v>5</v>
      </c>
      <c r="F167" s="417">
        <f>'платные на 2023-2024 год'!D32</f>
        <v>90000</v>
      </c>
      <c r="G167" s="417"/>
    </row>
    <row r="168" spans="1:7" ht="17.399999999999999" x14ac:dyDescent="0.3">
      <c r="A168" s="6"/>
    </row>
    <row r="169" spans="1:7" ht="17.399999999999999" x14ac:dyDescent="0.3">
      <c r="A169" s="424" t="s">
        <v>226</v>
      </c>
      <c r="B169" s="424"/>
      <c r="C169" s="424"/>
      <c r="D169" s="424"/>
      <c r="E169" s="424"/>
      <c r="F169" s="424"/>
      <c r="G169" s="424"/>
    </row>
    <row r="170" spans="1:7" ht="18" x14ac:dyDescent="0.3">
      <c r="A170" s="7"/>
    </row>
    <row r="171" spans="1:7" ht="18" x14ac:dyDescent="0.35">
      <c r="A171" s="7" t="s">
        <v>146</v>
      </c>
      <c r="B171" s="8">
        <v>112</v>
      </c>
    </row>
    <row r="172" spans="1:7" ht="15" x14ac:dyDescent="0.3">
      <c r="A172" s="9"/>
    </row>
    <row r="173" spans="1:7" ht="36" x14ac:dyDescent="0.3">
      <c r="A173" s="408" t="s">
        <v>85</v>
      </c>
      <c r="B173" s="410"/>
      <c r="C173" s="115" t="s">
        <v>227</v>
      </c>
      <c r="D173" s="408" t="s">
        <v>228</v>
      </c>
      <c r="E173" s="410"/>
      <c r="F173" s="416" t="s">
        <v>93</v>
      </c>
      <c r="G173" s="416"/>
    </row>
    <row r="174" spans="1:7" ht="18" x14ac:dyDescent="0.3">
      <c r="A174" s="408">
        <v>1</v>
      </c>
      <c r="B174" s="410"/>
      <c r="C174" s="115">
        <v>2</v>
      </c>
      <c r="D174" s="408">
        <v>3</v>
      </c>
      <c r="E174" s="410"/>
      <c r="F174" s="416">
        <v>4</v>
      </c>
      <c r="G174" s="416"/>
    </row>
    <row r="175" spans="1:7" ht="34.950000000000003" customHeight="1" x14ac:dyDescent="0.3">
      <c r="A175" s="558" t="s">
        <v>387</v>
      </c>
      <c r="B175" s="558"/>
      <c r="C175" s="115">
        <v>294</v>
      </c>
      <c r="D175" s="416">
        <v>873.67</v>
      </c>
      <c r="E175" s="416"/>
      <c r="F175" s="417">
        <f>C175*D175</f>
        <v>256858.97999999998</v>
      </c>
      <c r="G175" s="417"/>
    </row>
    <row r="176" spans="1:7" ht="51" customHeight="1" x14ac:dyDescent="0.3">
      <c r="A176" s="558" t="s">
        <v>388</v>
      </c>
      <c r="B176" s="558"/>
      <c r="C176" s="115">
        <v>104</v>
      </c>
      <c r="D176" s="416">
        <v>395.01</v>
      </c>
      <c r="E176" s="416"/>
      <c r="F176" s="417">
        <f>C176*D176-0.02</f>
        <v>41081.020000000004</v>
      </c>
      <c r="G176" s="417"/>
    </row>
    <row r="177" spans="1:7" ht="18" x14ac:dyDescent="0.3">
      <c r="A177" s="412" t="s">
        <v>361</v>
      </c>
      <c r="B177" s="414"/>
      <c r="C177" s="408"/>
      <c r="D177" s="409"/>
      <c r="E177" s="410"/>
      <c r="F177" s="417">
        <f>'платные на 2023-2024 год'!D35</f>
        <v>297940</v>
      </c>
      <c r="G177" s="417"/>
    </row>
    <row r="178" spans="1:7" ht="18" x14ac:dyDescent="0.3">
      <c r="A178" s="26"/>
      <c r="B178" s="26"/>
      <c r="C178" s="17"/>
      <c r="D178" s="17"/>
      <c r="E178" s="17"/>
      <c r="F178" s="305"/>
      <c r="G178" s="305"/>
    </row>
    <row r="179" spans="1:7" ht="18" x14ac:dyDescent="0.3">
      <c r="A179" s="26"/>
      <c r="B179" s="26"/>
      <c r="C179" s="17"/>
      <c r="D179" s="17"/>
      <c r="E179" s="17"/>
      <c r="F179" s="305"/>
      <c r="G179" s="305"/>
    </row>
    <row r="180" spans="1:7" ht="18" x14ac:dyDescent="0.3">
      <c r="A180" s="26"/>
      <c r="B180" s="26"/>
      <c r="C180" s="17"/>
      <c r="D180" s="17"/>
      <c r="E180" s="17"/>
      <c r="F180" s="305"/>
      <c r="G180" s="305"/>
    </row>
    <row r="181" spans="1:7" ht="18" x14ac:dyDescent="0.3">
      <c r="A181" s="26"/>
      <c r="B181" s="26"/>
      <c r="C181" s="17"/>
      <c r="D181" s="17"/>
      <c r="E181" s="17"/>
      <c r="F181" s="305"/>
      <c r="G181" s="305"/>
    </row>
    <row r="182" spans="1:7" ht="18" x14ac:dyDescent="0.3">
      <c r="A182" s="26"/>
      <c r="B182" s="26"/>
      <c r="C182" s="17"/>
      <c r="D182" s="17"/>
      <c r="E182" s="17"/>
      <c r="F182" s="305"/>
      <c r="G182" s="305"/>
    </row>
    <row r="183" spans="1:7" ht="18" x14ac:dyDescent="0.3">
      <c r="A183" s="26"/>
      <c r="B183" s="26"/>
      <c r="C183" s="17"/>
      <c r="D183" s="17"/>
      <c r="E183" s="17"/>
      <c r="F183" s="305"/>
      <c r="G183" s="305"/>
    </row>
    <row r="184" spans="1:7" ht="40.5" customHeight="1" x14ac:dyDescent="0.3">
      <c r="A184" s="424" t="s">
        <v>438</v>
      </c>
      <c r="B184" s="424"/>
      <c r="C184" s="424"/>
      <c r="D184" s="424"/>
      <c r="E184" s="424"/>
      <c r="F184" s="424"/>
      <c r="G184" s="424"/>
    </row>
    <row r="185" spans="1:7" ht="20.399999999999999" customHeight="1" x14ac:dyDescent="0.3">
      <c r="A185" s="101"/>
      <c r="B185" s="101"/>
      <c r="C185" s="101"/>
      <c r="D185" s="101"/>
      <c r="E185" s="101"/>
      <c r="F185" s="101"/>
      <c r="G185" s="101"/>
    </row>
    <row r="186" spans="1:7" ht="27.6" customHeight="1" x14ac:dyDescent="0.35">
      <c r="A186" s="7" t="s">
        <v>146</v>
      </c>
      <c r="B186" s="8">
        <v>112</v>
      </c>
    </row>
    <row r="187" spans="1:7" ht="18" customHeight="1" x14ac:dyDescent="0.3">
      <c r="A187" s="9"/>
    </row>
    <row r="188" spans="1:7" ht="52.95" customHeight="1" x14ac:dyDescent="0.3">
      <c r="A188" s="97" t="s">
        <v>85</v>
      </c>
      <c r="B188" s="97" t="s">
        <v>86</v>
      </c>
      <c r="C188" s="416" t="s">
        <v>87</v>
      </c>
      <c r="D188" s="416"/>
      <c r="E188" s="97" t="s">
        <v>88</v>
      </c>
      <c r="F188" s="416" t="s">
        <v>89</v>
      </c>
      <c r="G188" s="416"/>
    </row>
    <row r="189" spans="1:7" ht="18" customHeight="1" x14ac:dyDescent="0.3">
      <c r="A189" s="97">
        <v>1</v>
      </c>
      <c r="B189" s="97">
        <v>2</v>
      </c>
      <c r="C189" s="416">
        <v>3</v>
      </c>
      <c r="D189" s="416"/>
      <c r="E189" s="97">
        <v>4</v>
      </c>
      <c r="F189" s="416">
        <v>5</v>
      </c>
      <c r="G189" s="416"/>
    </row>
    <row r="190" spans="1:7" ht="36" x14ac:dyDescent="0.3">
      <c r="A190" s="11" t="s">
        <v>94</v>
      </c>
      <c r="B190" s="178">
        <v>5</v>
      </c>
      <c r="C190" s="417">
        <v>3000</v>
      </c>
      <c r="D190" s="417"/>
      <c r="E190" s="178">
        <v>5</v>
      </c>
      <c r="F190" s="417">
        <f>'платные на 2023-2024 год'!D58</f>
        <v>75000</v>
      </c>
      <c r="G190" s="417"/>
    </row>
    <row r="191" spans="1:7" ht="18" customHeight="1" x14ac:dyDescent="0.3">
      <c r="A191" s="6"/>
    </row>
    <row r="192" spans="1:7" ht="17.399999999999999" x14ac:dyDescent="0.3">
      <c r="A192" s="424" t="s">
        <v>206</v>
      </c>
      <c r="B192" s="424"/>
      <c r="C192" s="424"/>
      <c r="D192" s="424"/>
      <c r="E192" s="424"/>
      <c r="F192" s="424"/>
      <c r="G192" s="424"/>
    </row>
    <row r="193" spans="1:7" ht="17.399999999999999" x14ac:dyDescent="0.3">
      <c r="A193" s="101"/>
      <c r="B193" s="101"/>
      <c r="C193" s="101"/>
      <c r="D193" s="101"/>
      <c r="E193" s="101"/>
      <c r="F193" s="101"/>
      <c r="G193" s="101"/>
    </row>
    <row r="194" spans="1:7" ht="23.25" customHeight="1" x14ac:dyDescent="0.35">
      <c r="A194" s="7" t="s">
        <v>144</v>
      </c>
      <c r="B194" s="8">
        <v>111</v>
      </c>
    </row>
    <row r="195" spans="1:7" ht="15" x14ac:dyDescent="0.3">
      <c r="A195" s="9"/>
    </row>
    <row r="196" spans="1:7" ht="46.95" customHeight="1" x14ac:dyDescent="0.3">
      <c r="A196" s="97" t="s">
        <v>85</v>
      </c>
      <c r="B196" s="416" t="s">
        <v>98</v>
      </c>
      <c r="C196" s="416"/>
      <c r="D196" s="416" t="s">
        <v>99</v>
      </c>
      <c r="E196" s="416"/>
      <c r="F196" s="416" t="s">
        <v>100</v>
      </c>
      <c r="G196" s="416"/>
    </row>
    <row r="197" spans="1:7" ht="18" x14ac:dyDescent="0.35">
      <c r="A197" s="97">
        <v>1</v>
      </c>
      <c r="B197" s="408">
        <v>2</v>
      </c>
      <c r="C197" s="410"/>
      <c r="D197" s="408">
        <v>3</v>
      </c>
      <c r="E197" s="410"/>
      <c r="F197" s="422">
        <v>4</v>
      </c>
      <c r="G197" s="423"/>
    </row>
    <row r="198" spans="1:7" ht="92.25" customHeight="1" x14ac:dyDescent="0.3">
      <c r="A198" s="11" t="s">
        <v>101</v>
      </c>
      <c r="B198" s="408">
        <v>29</v>
      </c>
      <c r="C198" s="410"/>
      <c r="D198" s="408">
        <v>862.07</v>
      </c>
      <c r="E198" s="410"/>
      <c r="F198" s="420">
        <f>'платные на 2023-2024 год'!D68</f>
        <v>25000</v>
      </c>
      <c r="G198" s="421"/>
    </row>
    <row r="199" spans="1:7" ht="23.25" customHeight="1" x14ac:dyDescent="0.3">
      <c r="A199" s="13"/>
      <c r="B199" s="14"/>
      <c r="C199" s="14"/>
      <c r="D199" s="14"/>
      <c r="E199" s="14"/>
      <c r="F199" s="15"/>
      <c r="G199" s="15"/>
    </row>
    <row r="200" spans="1:7" ht="17.399999999999999" x14ac:dyDescent="0.3">
      <c r="A200" s="424" t="s">
        <v>225</v>
      </c>
      <c r="B200" s="424"/>
      <c r="C200" s="424"/>
      <c r="D200" s="424"/>
      <c r="E200" s="424"/>
      <c r="F200" s="424"/>
      <c r="G200" s="424"/>
    </row>
    <row r="201" spans="1:7" ht="29.25" customHeight="1" x14ac:dyDescent="0.35">
      <c r="A201" s="7" t="s">
        <v>144</v>
      </c>
      <c r="B201" s="8">
        <v>851</v>
      </c>
    </row>
    <row r="202" spans="1:7" ht="15" x14ac:dyDescent="0.3">
      <c r="A202" s="9"/>
    </row>
    <row r="203" spans="1:7" ht="39" customHeight="1" x14ac:dyDescent="0.3">
      <c r="A203" s="97" t="s">
        <v>85</v>
      </c>
      <c r="B203" s="416" t="s">
        <v>108</v>
      </c>
      <c r="C203" s="416"/>
      <c r="D203" s="416" t="s">
        <v>109</v>
      </c>
      <c r="E203" s="416"/>
      <c r="F203" s="416" t="s">
        <v>110</v>
      </c>
      <c r="G203" s="416"/>
    </row>
    <row r="204" spans="1:7" ht="18" x14ac:dyDescent="0.3">
      <c r="A204" s="97">
        <v>1</v>
      </c>
      <c r="B204" s="408">
        <v>2</v>
      </c>
      <c r="C204" s="410"/>
      <c r="D204" s="559">
        <v>3</v>
      </c>
      <c r="E204" s="560"/>
      <c r="F204" s="559">
        <v>4</v>
      </c>
      <c r="G204" s="560"/>
    </row>
    <row r="205" spans="1:7" ht="18" x14ac:dyDescent="0.3">
      <c r="A205" s="393" t="s">
        <v>111</v>
      </c>
      <c r="B205" s="461">
        <v>398932</v>
      </c>
      <c r="C205" s="461"/>
      <c r="D205" s="525">
        <v>2.2000000000000002</v>
      </c>
      <c r="E205" s="525"/>
      <c r="F205" s="594">
        <f>'платные на 2023-2024 год'!D74</f>
        <v>80000</v>
      </c>
      <c r="G205" s="595"/>
    </row>
    <row r="206" spans="1:7" ht="18" x14ac:dyDescent="0.3">
      <c r="A206" s="394"/>
      <c r="B206" s="461">
        <v>6474940</v>
      </c>
      <c r="C206" s="461"/>
      <c r="D206" s="525">
        <v>1.1000000000000001</v>
      </c>
      <c r="E206" s="525"/>
      <c r="F206" s="596"/>
      <c r="G206" s="597"/>
    </row>
    <row r="207" spans="1:7" ht="18.75" customHeight="1" x14ac:dyDescent="0.3">
      <c r="A207" s="13"/>
      <c r="B207" s="14"/>
      <c r="C207" s="14"/>
      <c r="D207" s="14"/>
      <c r="E207" s="14"/>
      <c r="F207" s="72"/>
      <c r="G207" s="72"/>
    </row>
    <row r="208" spans="1:7" ht="18" x14ac:dyDescent="0.3">
      <c r="A208" s="7" t="s">
        <v>113</v>
      </c>
    </row>
    <row r="209" spans="1:7" ht="15" x14ac:dyDescent="0.3">
      <c r="A209" s="9"/>
    </row>
    <row r="210" spans="1:7" ht="18" x14ac:dyDescent="0.3">
      <c r="A210" s="97" t="s">
        <v>85</v>
      </c>
      <c r="B210" s="416" t="s">
        <v>108</v>
      </c>
      <c r="C210" s="416"/>
      <c r="D210" s="416" t="s">
        <v>109</v>
      </c>
      <c r="E210" s="416"/>
      <c r="F210" s="416" t="s">
        <v>114</v>
      </c>
      <c r="G210" s="416"/>
    </row>
    <row r="211" spans="1:7" ht="18" x14ac:dyDescent="0.35">
      <c r="A211" s="97">
        <v>1</v>
      </c>
      <c r="B211" s="408">
        <v>2</v>
      </c>
      <c r="C211" s="410"/>
      <c r="D211" s="408">
        <v>3</v>
      </c>
      <c r="E211" s="410"/>
      <c r="F211" s="422">
        <v>4</v>
      </c>
      <c r="G211" s="423"/>
    </row>
    <row r="212" spans="1:7" ht="36" x14ac:dyDescent="0.3">
      <c r="A212" s="11" t="s">
        <v>115</v>
      </c>
      <c r="B212" s="408" t="s">
        <v>116</v>
      </c>
      <c r="C212" s="410"/>
      <c r="D212" s="408" t="s">
        <v>116</v>
      </c>
      <c r="E212" s="410"/>
      <c r="F212" s="420">
        <f>'платные на 2023-2024 год'!D75</f>
        <v>9000</v>
      </c>
      <c r="G212" s="512"/>
    </row>
    <row r="213" spans="1:7" ht="18" x14ac:dyDescent="0.3">
      <c r="A213" s="7"/>
    </row>
    <row r="214" spans="1:7" ht="17.399999999999999" x14ac:dyDescent="0.3">
      <c r="A214" s="424" t="s">
        <v>213</v>
      </c>
      <c r="B214" s="424"/>
      <c r="C214" s="424"/>
      <c r="D214" s="424"/>
      <c r="E214" s="424"/>
      <c r="F214" s="424"/>
      <c r="G214" s="424"/>
    </row>
    <row r="215" spans="1:7" ht="17.399999999999999" x14ac:dyDescent="0.3">
      <c r="A215" s="415" t="s">
        <v>215</v>
      </c>
      <c r="B215" s="415"/>
      <c r="C215" s="415"/>
      <c r="D215" s="415"/>
      <c r="E215" s="415"/>
      <c r="F215" s="415"/>
      <c r="G215" s="415"/>
    </row>
    <row r="216" spans="1:7" ht="18" x14ac:dyDescent="0.3">
      <c r="A216" s="7"/>
    </row>
    <row r="217" spans="1:7" ht="18" x14ac:dyDescent="0.35">
      <c r="A217" s="7" t="s">
        <v>144</v>
      </c>
      <c r="B217" s="8">
        <v>244</v>
      </c>
    </row>
    <row r="218" spans="1:7" ht="17.399999999999999" x14ac:dyDescent="0.3">
      <c r="A218" s="6"/>
    </row>
    <row r="219" spans="1:7" ht="42" customHeight="1" x14ac:dyDescent="0.3">
      <c r="A219" s="408" t="s">
        <v>85</v>
      </c>
      <c r="B219" s="410"/>
      <c r="C219" s="115" t="s">
        <v>120</v>
      </c>
      <c r="D219" s="416" t="s">
        <v>121</v>
      </c>
      <c r="E219" s="416"/>
      <c r="F219" s="416" t="s">
        <v>185</v>
      </c>
      <c r="G219" s="416"/>
    </row>
    <row r="220" spans="1:7" ht="18" x14ac:dyDescent="0.3">
      <c r="A220" s="408">
        <v>1</v>
      </c>
      <c r="B220" s="410"/>
      <c r="C220" s="116">
        <v>2</v>
      </c>
      <c r="D220" s="408">
        <v>3</v>
      </c>
      <c r="E220" s="410"/>
      <c r="F220" s="559">
        <v>4</v>
      </c>
      <c r="G220" s="560"/>
    </row>
    <row r="221" spans="1:7" ht="18" x14ac:dyDescent="0.3">
      <c r="A221" s="501" t="s">
        <v>122</v>
      </c>
      <c r="B221" s="501"/>
      <c r="C221" s="212">
        <v>14</v>
      </c>
      <c r="D221" s="528">
        <v>816.66660000000002</v>
      </c>
      <c r="E221" s="528"/>
      <c r="F221" s="528">
        <f>C221*D221*12-0.03</f>
        <v>137199.95879999999</v>
      </c>
      <c r="G221" s="528"/>
    </row>
    <row r="222" spans="1:7" ht="18" x14ac:dyDescent="0.3">
      <c r="A222" s="501" t="s">
        <v>359</v>
      </c>
      <c r="B222" s="501"/>
      <c r="C222" s="212">
        <v>7</v>
      </c>
      <c r="D222" s="528">
        <v>129.16659999999999</v>
      </c>
      <c r="E222" s="528"/>
      <c r="F222" s="528">
        <f>C222*D222*12-0.03</f>
        <v>10849.964399999999</v>
      </c>
      <c r="G222" s="528"/>
    </row>
    <row r="223" spans="1:7" ht="18" x14ac:dyDescent="0.3">
      <c r="A223" s="501" t="s">
        <v>360</v>
      </c>
      <c r="B223" s="501"/>
      <c r="C223" s="212">
        <v>5</v>
      </c>
      <c r="D223" s="528">
        <v>1250</v>
      </c>
      <c r="E223" s="528"/>
      <c r="F223" s="528">
        <f>C223*D223*12</f>
        <v>75000</v>
      </c>
      <c r="G223" s="528"/>
    </row>
    <row r="224" spans="1:7" ht="18" x14ac:dyDescent="0.3">
      <c r="A224" s="501" t="s">
        <v>389</v>
      </c>
      <c r="B224" s="501"/>
      <c r="C224" s="212">
        <v>2</v>
      </c>
      <c r="D224" s="528">
        <v>1977.0833</v>
      </c>
      <c r="E224" s="528"/>
      <c r="F224" s="528">
        <f>C224*D224*12+0.08</f>
        <v>47450.0792</v>
      </c>
      <c r="G224" s="528"/>
    </row>
    <row r="225" spans="1:7" ht="18" x14ac:dyDescent="0.3">
      <c r="A225" s="501" t="s">
        <v>390</v>
      </c>
      <c r="B225" s="501"/>
      <c r="C225" s="220">
        <v>13</v>
      </c>
      <c r="D225" s="440">
        <v>125</v>
      </c>
      <c r="E225" s="440"/>
      <c r="F225" s="440">
        <f>C225*D225*12</f>
        <v>19500</v>
      </c>
      <c r="G225" s="440"/>
    </row>
    <row r="226" spans="1:7" ht="18" x14ac:dyDescent="0.3">
      <c r="A226" s="412" t="s">
        <v>361</v>
      </c>
      <c r="B226" s="414"/>
      <c r="C226" s="167"/>
      <c r="D226" s="559"/>
      <c r="E226" s="560"/>
      <c r="F226" s="452">
        <f>'платные на 2023-2024 год'!D39</f>
        <v>290000</v>
      </c>
      <c r="G226" s="453"/>
    </row>
    <row r="227" spans="1:7" ht="15" hidden="1" x14ac:dyDescent="0.3">
      <c r="A227" s="21"/>
    </row>
    <row r="228" spans="1:7" ht="15" hidden="1" x14ac:dyDescent="0.3">
      <c r="A228" s="21"/>
    </row>
    <row r="229" spans="1:7" ht="15" hidden="1" x14ac:dyDescent="0.3">
      <c r="A229" s="21"/>
    </row>
    <row r="230" spans="1:7" ht="15" hidden="1" x14ac:dyDescent="0.3">
      <c r="A230" s="21"/>
    </row>
    <row r="231" spans="1:7" ht="17.399999999999999" x14ac:dyDescent="0.3">
      <c r="A231" s="415" t="s">
        <v>216</v>
      </c>
      <c r="B231" s="415"/>
      <c r="C231" s="415"/>
      <c r="D231" s="415"/>
      <c r="E231" s="415"/>
      <c r="F231" s="415"/>
      <c r="G231" s="415"/>
    </row>
    <row r="232" spans="1:7" ht="18" x14ac:dyDescent="0.3">
      <c r="A232" s="7"/>
    </row>
    <row r="233" spans="1:7" ht="18" x14ac:dyDescent="0.35">
      <c r="A233" s="7" t="s">
        <v>144</v>
      </c>
      <c r="B233" s="8">
        <v>244</v>
      </c>
    </row>
    <row r="234" spans="1:7" ht="17.399999999999999" x14ac:dyDescent="0.3">
      <c r="A234" s="6"/>
    </row>
    <row r="235" spans="1:7" ht="54" x14ac:dyDescent="0.3">
      <c r="A235" s="408" t="s">
        <v>85</v>
      </c>
      <c r="B235" s="410"/>
      <c r="C235" s="115" t="s">
        <v>124</v>
      </c>
      <c r="D235" s="416" t="s">
        <v>92</v>
      </c>
      <c r="E235" s="416"/>
      <c r="F235" s="416" t="s">
        <v>185</v>
      </c>
      <c r="G235" s="416"/>
    </row>
    <row r="236" spans="1:7" ht="18" x14ac:dyDescent="0.3">
      <c r="A236" s="408">
        <v>1</v>
      </c>
      <c r="B236" s="410"/>
      <c r="C236" s="116">
        <v>2</v>
      </c>
      <c r="D236" s="408">
        <v>3</v>
      </c>
      <c r="E236" s="410"/>
      <c r="F236" s="408">
        <v>4</v>
      </c>
      <c r="G236" s="410"/>
    </row>
    <row r="237" spans="1:7" ht="18" x14ac:dyDescent="0.3">
      <c r="A237" s="515" t="s">
        <v>391</v>
      </c>
      <c r="B237" s="515"/>
      <c r="C237" s="172">
        <v>4</v>
      </c>
      <c r="D237" s="427">
        <v>8333.3333299999995</v>
      </c>
      <c r="E237" s="427"/>
      <c r="F237" s="452">
        <f>'платные на 2023-2024 год'!D42</f>
        <v>400000</v>
      </c>
      <c r="G237" s="453"/>
    </row>
    <row r="238" spans="1:7" ht="17.399999999999999" x14ac:dyDescent="0.3">
      <c r="A238" s="6"/>
    </row>
    <row r="239" spans="1:7" ht="17.399999999999999" x14ac:dyDescent="0.3">
      <c r="A239" s="415" t="s">
        <v>217</v>
      </c>
      <c r="B239" s="415"/>
      <c r="C239" s="415"/>
      <c r="D239" s="415"/>
      <c r="E239" s="415"/>
      <c r="F239" s="415"/>
      <c r="G239" s="415"/>
    </row>
    <row r="240" spans="1:7" ht="18" x14ac:dyDescent="0.3">
      <c r="A240" s="7"/>
    </row>
    <row r="241" spans="1:7" ht="18" x14ac:dyDescent="0.35">
      <c r="A241" s="7" t="s">
        <v>144</v>
      </c>
      <c r="B241" s="8">
        <v>244</v>
      </c>
    </row>
    <row r="242" spans="1:7" ht="19.5" customHeight="1" x14ac:dyDescent="0.3">
      <c r="A242" s="6"/>
    </row>
    <row r="243" spans="1:7" ht="46.8" x14ac:dyDescent="0.3">
      <c r="A243" s="416" t="s">
        <v>85</v>
      </c>
      <c r="B243" s="416"/>
      <c r="C243" s="354" t="s">
        <v>125</v>
      </c>
      <c r="D243" s="416" t="s">
        <v>126</v>
      </c>
      <c r="E243" s="416"/>
      <c r="F243" s="416" t="s">
        <v>93</v>
      </c>
      <c r="G243" s="416"/>
    </row>
    <row r="244" spans="1:7" ht="18" x14ac:dyDescent="0.3">
      <c r="A244" s="416">
        <v>1</v>
      </c>
      <c r="B244" s="416"/>
      <c r="C244" s="355">
        <v>2</v>
      </c>
      <c r="D244" s="416">
        <v>3</v>
      </c>
      <c r="E244" s="416"/>
      <c r="F244" s="416">
        <v>4</v>
      </c>
      <c r="G244" s="416"/>
    </row>
    <row r="245" spans="1:7" ht="42.75" customHeight="1" x14ac:dyDescent="0.3">
      <c r="A245" s="411" t="s">
        <v>21</v>
      </c>
      <c r="B245" s="411"/>
      <c r="C245" s="355">
        <v>1039.2849699999999</v>
      </c>
      <c r="D245" s="417">
        <v>96.22</v>
      </c>
      <c r="E245" s="417"/>
      <c r="F245" s="417">
        <f>'платные на 2023-2024 год'!E51</f>
        <v>100000</v>
      </c>
      <c r="G245" s="417"/>
    </row>
    <row r="246" spans="1:7" ht="41.25" customHeight="1" x14ac:dyDescent="0.3">
      <c r="A246" s="412" t="s">
        <v>22</v>
      </c>
      <c r="B246" s="414"/>
      <c r="C246" s="355">
        <v>276.89325000000002</v>
      </c>
      <c r="D246" s="452">
        <v>361.15</v>
      </c>
      <c r="E246" s="453"/>
      <c r="F246" s="452">
        <f>'платные на 2023-2024 год'!E52</f>
        <v>100000</v>
      </c>
      <c r="G246" s="453"/>
    </row>
    <row r="247" spans="1:7" ht="21.75" customHeight="1" x14ac:dyDescent="0.3">
      <c r="A247" s="411" t="s">
        <v>361</v>
      </c>
      <c r="B247" s="411"/>
      <c r="C247" s="355"/>
      <c r="D247" s="417"/>
      <c r="E247" s="417"/>
      <c r="F247" s="417">
        <f>SUM(F245:G246)</f>
        <v>200000</v>
      </c>
      <c r="G247" s="417"/>
    </row>
    <row r="248" spans="1:7" ht="18" x14ac:dyDescent="0.3">
      <c r="A248" s="26"/>
      <c r="B248" s="26"/>
      <c r="C248" s="17"/>
      <c r="D248" s="305"/>
      <c r="E248" s="305"/>
      <c r="F248" s="305"/>
      <c r="G248" s="305"/>
    </row>
    <row r="249" spans="1:7" ht="18" x14ac:dyDescent="0.35">
      <c r="A249" s="7" t="s">
        <v>144</v>
      </c>
      <c r="B249" s="8">
        <v>247</v>
      </c>
    </row>
    <row r="250" spans="1:7" ht="23.25" customHeight="1" x14ac:dyDescent="0.3">
      <c r="A250" s="6"/>
    </row>
    <row r="251" spans="1:7" ht="46.8" x14ac:dyDescent="0.3">
      <c r="A251" s="416" t="s">
        <v>85</v>
      </c>
      <c r="B251" s="416"/>
      <c r="C251" s="354" t="s">
        <v>125</v>
      </c>
      <c r="D251" s="416" t="s">
        <v>126</v>
      </c>
      <c r="E251" s="416"/>
      <c r="F251" s="416" t="s">
        <v>93</v>
      </c>
      <c r="G251" s="416"/>
    </row>
    <row r="252" spans="1:7" ht="18" x14ac:dyDescent="0.3">
      <c r="A252" s="416">
        <v>1</v>
      </c>
      <c r="B252" s="416"/>
      <c r="C252" s="355">
        <v>2</v>
      </c>
      <c r="D252" s="416">
        <v>3</v>
      </c>
      <c r="E252" s="416"/>
      <c r="F252" s="416">
        <v>4</v>
      </c>
      <c r="G252" s="416"/>
    </row>
    <row r="253" spans="1:7" ht="43.5" customHeight="1" x14ac:dyDescent="0.3">
      <c r="A253" s="411" t="s">
        <v>18</v>
      </c>
      <c r="B253" s="411"/>
      <c r="C253" s="355">
        <v>38.797283999999998</v>
      </c>
      <c r="D253" s="417">
        <v>2577.5</v>
      </c>
      <c r="E253" s="417"/>
      <c r="F253" s="417">
        <f>'платные на 2023-2024 год'!E48</f>
        <v>100000</v>
      </c>
      <c r="G253" s="417"/>
    </row>
    <row r="254" spans="1:7" ht="39.75" customHeight="1" x14ac:dyDescent="0.3">
      <c r="A254" s="411" t="s">
        <v>20</v>
      </c>
      <c r="B254" s="411"/>
      <c r="C254" s="355">
        <v>10526.31589</v>
      </c>
      <c r="D254" s="417">
        <v>9.5</v>
      </c>
      <c r="E254" s="417"/>
      <c r="F254" s="417">
        <f>'платные на 2023-2024 год'!E50</f>
        <v>100000</v>
      </c>
      <c r="G254" s="417"/>
    </row>
    <row r="255" spans="1:7" ht="18" x14ac:dyDescent="0.3">
      <c r="A255" s="411" t="s">
        <v>361</v>
      </c>
      <c r="B255" s="411"/>
      <c r="C255" s="355"/>
      <c r="D255" s="417"/>
      <c r="E255" s="417"/>
      <c r="F255" s="417">
        <f>SUM(F253:F254)</f>
        <v>200000</v>
      </c>
      <c r="G255" s="417"/>
    </row>
    <row r="256" spans="1:7" ht="18" x14ac:dyDescent="0.3">
      <c r="A256" s="23"/>
      <c r="B256" s="24"/>
      <c r="C256" s="24"/>
      <c r="D256" s="24"/>
      <c r="E256" s="24"/>
      <c r="F256" s="24"/>
      <c r="G256" s="24"/>
    </row>
    <row r="257" spans="1:7" ht="17.399999999999999" x14ac:dyDescent="0.3">
      <c r="A257" s="441" t="s">
        <v>439</v>
      </c>
      <c r="B257" s="441"/>
      <c r="C257" s="441"/>
      <c r="D257" s="441"/>
      <c r="E257" s="441"/>
      <c r="F257" s="441"/>
      <c r="G257" s="441"/>
    </row>
    <row r="258" spans="1:7" ht="18" x14ac:dyDescent="0.3">
      <c r="A258" s="7"/>
    </row>
    <row r="259" spans="1:7" ht="18" x14ac:dyDescent="0.35">
      <c r="A259" s="7" t="s">
        <v>144</v>
      </c>
      <c r="B259" s="8">
        <v>244</v>
      </c>
    </row>
    <row r="260" spans="1:7" ht="17.399999999999999" x14ac:dyDescent="0.3">
      <c r="A260" s="6"/>
    </row>
    <row r="261" spans="1:7" ht="18" x14ac:dyDescent="0.3">
      <c r="A261" s="416" t="s">
        <v>85</v>
      </c>
      <c r="B261" s="416"/>
      <c r="C261" s="416"/>
      <c r="D261" s="416" t="s">
        <v>130</v>
      </c>
      <c r="E261" s="416"/>
      <c r="F261" s="416" t="s">
        <v>131</v>
      </c>
      <c r="G261" s="416"/>
    </row>
    <row r="262" spans="1:7" ht="18" x14ac:dyDescent="0.35">
      <c r="A262" s="416">
        <v>1</v>
      </c>
      <c r="B262" s="416"/>
      <c r="C262" s="416"/>
      <c r="D262" s="422">
        <v>2</v>
      </c>
      <c r="E262" s="423"/>
      <c r="F262" s="422">
        <v>3</v>
      </c>
      <c r="G262" s="423"/>
    </row>
    <row r="263" spans="1:7" ht="43.5" customHeight="1" x14ac:dyDescent="0.3">
      <c r="A263" s="598" t="s">
        <v>393</v>
      </c>
      <c r="B263" s="598"/>
      <c r="C263" s="598"/>
      <c r="D263" s="509">
        <v>12</v>
      </c>
      <c r="E263" s="509"/>
      <c r="F263" s="460">
        <v>180000</v>
      </c>
      <c r="G263" s="460"/>
    </row>
    <row r="264" spans="1:7" ht="35.25" customHeight="1" x14ac:dyDescent="0.3">
      <c r="A264" s="598" t="s">
        <v>394</v>
      </c>
      <c r="B264" s="598"/>
      <c r="C264" s="598"/>
      <c r="D264" s="509">
        <v>12</v>
      </c>
      <c r="E264" s="509"/>
      <c r="F264" s="460">
        <v>50000</v>
      </c>
      <c r="G264" s="460"/>
    </row>
    <row r="265" spans="1:7" ht="18" x14ac:dyDescent="0.3">
      <c r="A265" s="598" t="s">
        <v>395</v>
      </c>
      <c r="B265" s="598"/>
      <c r="C265" s="598"/>
      <c r="D265" s="509">
        <v>2</v>
      </c>
      <c r="E265" s="509"/>
      <c r="F265" s="460">
        <v>15000</v>
      </c>
      <c r="G265" s="460"/>
    </row>
    <row r="266" spans="1:7" ht="33" customHeight="1" x14ac:dyDescent="0.3">
      <c r="A266" s="598" t="s">
        <v>396</v>
      </c>
      <c r="B266" s="598"/>
      <c r="C266" s="598"/>
      <c r="D266" s="509">
        <v>4</v>
      </c>
      <c r="E266" s="509"/>
      <c r="F266" s="460">
        <v>1680000</v>
      </c>
      <c r="G266" s="460"/>
    </row>
    <row r="267" spans="1:7" ht="18" x14ac:dyDescent="0.3">
      <c r="A267" s="598" t="s">
        <v>135</v>
      </c>
      <c r="B267" s="598"/>
      <c r="C267" s="598"/>
      <c r="D267" s="509">
        <v>2</v>
      </c>
      <c r="E267" s="509"/>
      <c r="F267" s="460">
        <v>30000</v>
      </c>
      <c r="G267" s="460"/>
    </row>
    <row r="268" spans="1:7" ht="31.5" customHeight="1" x14ac:dyDescent="0.3">
      <c r="A268" s="598" t="s">
        <v>397</v>
      </c>
      <c r="B268" s="598"/>
      <c r="C268" s="598"/>
      <c r="D268" s="509">
        <v>1</v>
      </c>
      <c r="E268" s="509"/>
      <c r="F268" s="460">
        <v>27000</v>
      </c>
      <c r="G268" s="460"/>
    </row>
    <row r="269" spans="1:7" ht="18" x14ac:dyDescent="0.3">
      <c r="A269" s="598" t="s">
        <v>398</v>
      </c>
      <c r="B269" s="598"/>
      <c r="C269" s="598"/>
      <c r="D269" s="509">
        <v>1</v>
      </c>
      <c r="E269" s="509"/>
      <c r="F269" s="460">
        <v>18000</v>
      </c>
      <c r="G269" s="460"/>
    </row>
    <row r="270" spans="1:7" ht="18" x14ac:dyDescent="0.3">
      <c r="A270" s="411" t="s">
        <v>361</v>
      </c>
      <c r="B270" s="411"/>
      <c r="C270" s="411"/>
      <c r="D270" s="584"/>
      <c r="E270" s="585"/>
      <c r="F270" s="420">
        <f>'платные на 2023-2024 год'!D56</f>
        <v>2000000</v>
      </c>
      <c r="G270" s="421"/>
    </row>
    <row r="271" spans="1:7" ht="18" x14ac:dyDescent="0.3">
      <c r="A271" s="27"/>
    </row>
    <row r="272" spans="1:7" ht="18" x14ac:dyDescent="0.3">
      <c r="A272" s="27"/>
    </row>
    <row r="273" spans="1:7" ht="18" hidden="1" x14ac:dyDescent="0.3">
      <c r="A273" s="27"/>
    </row>
    <row r="274" spans="1:7" ht="18" hidden="1" x14ac:dyDescent="0.3">
      <c r="A274" s="27"/>
    </row>
    <row r="275" spans="1:7" ht="18" hidden="1" x14ac:dyDescent="0.3">
      <c r="A275" s="27"/>
    </row>
    <row r="276" spans="1:7" ht="54.75" hidden="1" customHeight="1" x14ac:dyDescent="0.3">
      <c r="A276" s="27"/>
    </row>
    <row r="277" spans="1:7" ht="18" hidden="1" x14ac:dyDescent="0.3">
      <c r="A277" s="27"/>
    </row>
    <row r="278" spans="1:7" ht="18" hidden="1" x14ac:dyDescent="0.3">
      <c r="A278" s="27"/>
    </row>
    <row r="279" spans="1:7" ht="18" hidden="1" x14ac:dyDescent="0.3">
      <c r="A279" s="27"/>
    </row>
    <row r="280" spans="1:7" ht="41.25" hidden="1" customHeight="1" x14ac:dyDescent="0.3">
      <c r="A280" s="27"/>
    </row>
    <row r="281" spans="1:7" ht="41.25" hidden="1" customHeight="1" x14ac:dyDescent="0.3">
      <c r="A281" s="27"/>
    </row>
    <row r="282" spans="1:7" ht="18" hidden="1" x14ac:dyDescent="0.3">
      <c r="A282" s="27"/>
    </row>
    <row r="283" spans="1:7" ht="9" customHeight="1" x14ac:dyDescent="0.3">
      <c r="A283" s="27"/>
    </row>
    <row r="284" spans="1:7" ht="17.399999999999999" x14ac:dyDescent="0.3">
      <c r="A284" s="415" t="s">
        <v>220</v>
      </c>
      <c r="B284" s="415"/>
      <c r="C284" s="415"/>
      <c r="D284" s="415"/>
      <c r="E284" s="415"/>
      <c r="F284" s="415"/>
      <c r="G284" s="415"/>
    </row>
    <row r="285" spans="1:7" ht="18" x14ac:dyDescent="0.3">
      <c r="A285" s="7"/>
    </row>
    <row r="286" spans="1:7" ht="18" x14ac:dyDescent="0.35">
      <c r="A286" s="7" t="s">
        <v>144</v>
      </c>
      <c r="B286" s="8">
        <v>244</v>
      </c>
    </row>
    <row r="287" spans="1:7" ht="17.399999999999999" x14ac:dyDescent="0.3">
      <c r="A287" s="6"/>
    </row>
    <row r="288" spans="1:7" ht="36" x14ac:dyDescent="0.3">
      <c r="A288" s="408" t="s">
        <v>85</v>
      </c>
      <c r="B288" s="409"/>
      <c r="C288" s="409"/>
      <c r="D288" s="410"/>
      <c r="E288" s="156" t="s">
        <v>136</v>
      </c>
      <c r="F288" s="416" t="s">
        <v>137</v>
      </c>
      <c r="G288" s="416"/>
    </row>
    <row r="289" spans="1:7" ht="18" x14ac:dyDescent="0.35">
      <c r="A289" s="408">
        <v>1</v>
      </c>
      <c r="B289" s="409"/>
      <c r="C289" s="409"/>
      <c r="D289" s="410"/>
      <c r="E289" s="158">
        <v>2</v>
      </c>
      <c r="F289" s="422">
        <v>3</v>
      </c>
      <c r="G289" s="423"/>
    </row>
    <row r="290" spans="1:7" ht="18" x14ac:dyDescent="0.3">
      <c r="A290" s="599" t="s">
        <v>400</v>
      </c>
      <c r="B290" s="600"/>
      <c r="C290" s="600"/>
      <c r="D290" s="601"/>
      <c r="E290" s="170">
        <v>1</v>
      </c>
      <c r="F290" s="461">
        <v>2106057</v>
      </c>
      <c r="G290" s="461"/>
    </row>
    <row r="291" spans="1:7" ht="62.25" customHeight="1" x14ac:dyDescent="0.3">
      <c r="A291" s="458" t="s">
        <v>401</v>
      </c>
      <c r="B291" s="602"/>
      <c r="C291" s="602"/>
      <c r="D291" s="459"/>
      <c r="E291" s="170">
        <v>35</v>
      </c>
      <c r="F291" s="461">
        <v>1625000</v>
      </c>
      <c r="G291" s="461"/>
    </row>
    <row r="292" spans="1:7" ht="18" x14ac:dyDescent="0.3">
      <c r="A292" s="458" t="s">
        <v>402</v>
      </c>
      <c r="B292" s="602"/>
      <c r="C292" s="602"/>
      <c r="D292" s="459"/>
      <c r="E292" s="170">
        <v>1</v>
      </c>
      <c r="F292" s="461">
        <v>25000</v>
      </c>
      <c r="G292" s="461"/>
    </row>
    <row r="293" spans="1:7" ht="18" x14ac:dyDescent="0.3">
      <c r="A293" s="458" t="s">
        <v>403</v>
      </c>
      <c r="B293" s="602"/>
      <c r="C293" s="602"/>
      <c r="D293" s="459"/>
      <c r="E293" s="170">
        <v>1</v>
      </c>
      <c r="F293" s="461">
        <v>350000</v>
      </c>
      <c r="G293" s="461"/>
    </row>
    <row r="294" spans="1:7" ht="18" x14ac:dyDescent="0.3">
      <c r="A294" s="458" t="s">
        <v>404</v>
      </c>
      <c r="B294" s="602"/>
      <c r="C294" s="602"/>
      <c r="D294" s="459"/>
      <c r="E294" s="170">
        <v>1</v>
      </c>
      <c r="F294" s="461">
        <v>30000</v>
      </c>
      <c r="G294" s="461"/>
    </row>
    <row r="295" spans="1:7" ht="18" x14ac:dyDescent="0.3">
      <c r="A295" s="458" t="s">
        <v>405</v>
      </c>
      <c r="B295" s="602"/>
      <c r="C295" s="602"/>
      <c r="D295" s="459"/>
      <c r="E295" s="170">
        <v>1</v>
      </c>
      <c r="F295" s="461">
        <v>55000</v>
      </c>
      <c r="G295" s="461"/>
    </row>
    <row r="296" spans="1:7" ht="18" x14ac:dyDescent="0.3">
      <c r="A296" s="458" t="s">
        <v>406</v>
      </c>
      <c r="B296" s="602"/>
      <c r="C296" s="602"/>
      <c r="D296" s="459"/>
      <c r="E296" s="170">
        <v>2</v>
      </c>
      <c r="F296" s="461">
        <v>90000</v>
      </c>
      <c r="G296" s="461"/>
    </row>
    <row r="297" spans="1:7" ht="18" x14ac:dyDescent="0.3">
      <c r="A297" s="458" t="s">
        <v>407</v>
      </c>
      <c r="B297" s="602"/>
      <c r="C297" s="602"/>
      <c r="D297" s="459"/>
      <c r="E297" s="170">
        <v>1</v>
      </c>
      <c r="F297" s="461">
        <v>40000</v>
      </c>
      <c r="G297" s="461"/>
    </row>
    <row r="298" spans="1:7" ht="18" x14ac:dyDescent="0.3">
      <c r="A298" s="458" t="s">
        <v>408</v>
      </c>
      <c r="B298" s="602"/>
      <c r="C298" s="602"/>
      <c r="D298" s="459"/>
      <c r="E298" s="170">
        <v>1</v>
      </c>
      <c r="F298" s="461">
        <v>100000</v>
      </c>
      <c r="G298" s="461"/>
    </row>
    <row r="299" spans="1:7" ht="13.95" customHeight="1" x14ac:dyDescent="0.3">
      <c r="A299" s="458" t="s">
        <v>409</v>
      </c>
      <c r="B299" s="602"/>
      <c r="C299" s="602"/>
      <c r="D299" s="459"/>
      <c r="E299" s="171">
        <v>1</v>
      </c>
      <c r="F299" s="460">
        <v>80000</v>
      </c>
      <c r="G299" s="460"/>
    </row>
    <row r="300" spans="1:7" ht="18" x14ac:dyDescent="0.3">
      <c r="A300" s="458" t="s">
        <v>139</v>
      </c>
      <c r="B300" s="602"/>
      <c r="C300" s="602"/>
      <c r="D300" s="459"/>
      <c r="E300" s="171">
        <v>1</v>
      </c>
      <c r="F300" s="460">
        <v>50000</v>
      </c>
      <c r="G300" s="460"/>
    </row>
    <row r="301" spans="1:7" ht="18" x14ac:dyDescent="0.3">
      <c r="A301" s="458" t="s">
        <v>140</v>
      </c>
      <c r="B301" s="602"/>
      <c r="C301" s="602"/>
      <c r="D301" s="459"/>
      <c r="E301" s="171">
        <v>1</v>
      </c>
      <c r="F301" s="460">
        <v>45000</v>
      </c>
      <c r="G301" s="460"/>
    </row>
    <row r="302" spans="1:7" ht="18" x14ac:dyDescent="0.3">
      <c r="A302" s="458" t="s">
        <v>366</v>
      </c>
      <c r="B302" s="602"/>
      <c r="C302" s="602"/>
      <c r="D302" s="459"/>
      <c r="E302" s="171">
        <v>3</v>
      </c>
      <c r="F302" s="460">
        <v>25000</v>
      </c>
      <c r="G302" s="460"/>
    </row>
    <row r="303" spans="1:7" ht="18" x14ac:dyDescent="0.3">
      <c r="A303" s="412" t="s">
        <v>361</v>
      </c>
      <c r="B303" s="413"/>
      <c r="C303" s="413"/>
      <c r="D303" s="413"/>
      <c r="E303" s="162"/>
      <c r="F303" s="420">
        <f>'платные на 2023-2024 год'!D62</f>
        <v>4621057</v>
      </c>
      <c r="G303" s="421"/>
    </row>
    <row r="304" spans="1:7" ht="18" x14ac:dyDescent="0.3">
      <c r="A304" s="26"/>
      <c r="B304" s="26"/>
      <c r="C304" s="26"/>
      <c r="D304" s="26"/>
      <c r="E304" s="15"/>
      <c r="F304" s="228"/>
      <c r="G304" s="228"/>
    </row>
    <row r="305" spans="1:7" ht="17.399999999999999" x14ac:dyDescent="0.3">
      <c r="A305" s="415" t="s">
        <v>221</v>
      </c>
      <c r="B305" s="415"/>
      <c r="C305" s="415"/>
      <c r="D305" s="415"/>
      <c r="E305" s="415"/>
      <c r="F305" s="415"/>
      <c r="G305" s="415"/>
    </row>
    <row r="306" spans="1:7" ht="18" x14ac:dyDescent="0.3">
      <c r="A306" s="7"/>
    </row>
    <row r="307" spans="1:7" ht="18" x14ac:dyDescent="0.35">
      <c r="A307" s="7" t="s">
        <v>144</v>
      </c>
      <c r="B307" s="8">
        <v>244</v>
      </c>
    </row>
    <row r="308" spans="1:7" ht="17.399999999999999" x14ac:dyDescent="0.3">
      <c r="A308" s="6"/>
    </row>
    <row r="309" spans="1:7" ht="27.75" customHeight="1" x14ac:dyDescent="0.3">
      <c r="A309" s="408" t="s">
        <v>85</v>
      </c>
      <c r="B309" s="410"/>
      <c r="C309" s="408" t="s">
        <v>136</v>
      </c>
      <c r="D309" s="410"/>
      <c r="E309" s="408" t="s">
        <v>137</v>
      </c>
      <c r="F309" s="409"/>
      <c r="G309" s="410"/>
    </row>
    <row r="310" spans="1:7" ht="18" x14ac:dyDescent="0.35">
      <c r="A310" s="408">
        <v>1</v>
      </c>
      <c r="B310" s="410"/>
      <c r="C310" s="408">
        <v>2</v>
      </c>
      <c r="D310" s="410"/>
      <c r="E310" s="422">
        <v>3</v>
      </c>
      <c r="F310" s="450"/>
      <c r="G310" s="423"/>
    </row>
    <row r="311" spans="1:7" ht="18" x14ac:dyDescent="0.3">
      <c r="A311" s="412" t="s">
        <v>25</v>
      </c>
      <c r="B311" s="414"/>
      <c r="C311" s="408">
        <v>1</v>
      </c>
      <c r="D311" s="410"/>
      <c r="E311" s="420">
        <f>'платные на 2023-2024 год'!D63</f>
        <v>10000</v>
      </c>
      <c r="F311" s="593"/>
      <c r="G311" s="421"/>
    </row>
    <row r="312" spans="1:7" ht="23.25" customHeight="1" x14ac:dyDescent="0.3">
      <c r="A312" s="21"/>
    </row>
    <row r="313" spans="1:7" ht="17.399999999999999" x14ac:dyDescent="0.3">
      <c r="A313" s="415" t="s">
        <v>223</v>
      </c>
      <c r="B313" s="415"/>
      <c r="C313" s="415"/>
      <c r="D313" s="415"/>
      <c r="E313" s="415"/>
      <c r="F313" s="415"/>
      <c r="G313" s="415"/>
    </row>
    <row r="314" spans="1:7" ht="18" x14ac:dyDescent="0.3">
      <c r="A314" s="7"/>
      <c r="D314" s="180"/>
    </row>
    <row r="315" spans="1:7" ht="18.75" customHeight="1" x14ac:dyDescent="0.35">
      <c r="A315" s="7" t="s">
        <v>144</v>
      </c>
      <c r="B315" s="8">
        <v>244</v>
      </c>
    </row>
    <row r="316" spans="1:7" ht="18.75" customHeight="1" x14ac:dyDescent="0.3">
      <c r="A316" s="6"/>
    </row>
    <row r="317" spans="1:7" ht="27.75" customHeight="1" x14ac:dyDescent="0.3">
      <c r="A317" s="416" t="s">
        <v>85</v>
      </c>
      <c r="B317" s="416"/>
      <c r="C317" s="115" t="s">
        <v>141</v>
      </c>
      <c r="D317" s="416" t="s">
        <v>142</v>
      </c>
      <c r="E317" s="416"/>
      <c r="F317" s="416" t="s">
        <v>149</v>
      </c>
      <c r="G317" s="416"/>
    </row>
    <row r="318" spans="1:7" ht="18.75" customHeight="1" x14ac:dyDescent="0.3">
      <c r="A318" s="416">
        <v>1</v>
      </c>
      <c r="B318" s="416"/>
      <c r="C318" s="115">
        <v>2</v>
      </c>
      <c r="D318" s="416">
        <v>3</v>
      </c>
      <c r="E318" s="416"/>
      <c r="F318" s="416">
        <v>4</v>
      </c>
      <c r="G318" s="416"/>
    </row>
    <row r="319" spans="1:7" ht="18.75" customHeight="1" x14ac:dyDescent="0.3">
      <c r="A319" s="444" t="s">
        <v>410</v>
      </c>
      <c r="B319" s="444"/>
      <c r="C319" s="150">
        <v>10</v>
      </c>
      <c r="D319" s="461">
        <v>9300</v>
      </c>
      <c r="E319" s="461"/>
      <c r="F319" s="460">
        <f t="shared" ref="F319:F328" si="10">C319*D319</f>
        <v>93000</v>
      </c>
      <c r="G319" s="460"/>
    </row>
    <row r="320" spans="1:7" ht="18.75" customHeight="1" x14ac:dyDescent="0.3">
      <c r="A320" s="444" t="s">
        <v>411</v>
      </c>
      <c r="B320" s="444"/>
      <c r="C320" s="150">
        <v>6</v>
      </c>
      <c r="D320" s="461">
        <v>70000</v>
      </c>
      <c r="E320" s="461"/>
      <c r="F320" s="460">
        <f t="shared" si="10"/>
        <v>420000</v>
      </c>
      <c r="G320" s="460"/>
    </row>
    <row r="321" spans="1:7" ht="18.75" customHeight="1" x14ac:dyDescent="0.3">
      <c r="A321" s="444" t="s">
        <v>412</v>
      </c>
      <c r="B321" s="444"/>
      <c r="C321" s="150">
        <v>20</v>
      </c>
      <c r="D321" s="461">
        <v>20000</v>
      </c>
      <c r="E321" s="461"/>
      <c r="F321" s="460">
        <f>C321*D321</f>
        <v>400000</v>
      </c>
      <c r="G321" s="460"/>
    </row>
    <row r="322" spans="1:7" ht="18.75" customHeight="1" x14ac:dyDescent="0.3">
      <c r="A322" s="444" t="s">
        <v>413</v>
      </c>
      <c r="B322" s="444"/>
      <c r="C322" s="150">
        <v>3</v>
      </c>
      <c r="D322" s="461">
        <v>10000</v>
      </c>
      <c r="E322" s="461"/>
      <c r="F322" s="460">
        <f t="shared" si="10"/>
        <v>30000</v>
      </c>
      <c r="G322" s="460"/>
    </row>
    <row r="323" spans="1:7" ht="18.75" customHeight="1" x14ac:dyDescent="0.3">
      <c r="A323" s="444" t="s">
        <v>414</v>
      </c>
      <c r="B323" s="444"/>
      <c r="C323" s="168">
        <v>5</v>
      </c>
      <c r="D323" s="460">
        <v>12000</v>
      </c>
      <c r="E323" s="460"/>
      <c r="F323" s="460">
        <f t="shared" si="10"/>
        <v>60000</v>
      </c>
      <c r="G323" s="460"/>
    </row>
    <row r="324" spans="1:7" ht="18.75" customHeight="1" x14ac:dyDescent="0.3">
      <c r="A324" s="444" t="s">
        <v>415</v>
      </c>
      <c r="B324" s="444"/>
      <c r="C324" s="168">
        <v>10</v>
      </c>
      <c r="D324" s="460">
        <v>40000</v>
      </c>
      <c r="E324" s="460"/>
      <c r="F324" s="460">
        <f t="shared" si="10"/>
        <v>400000</v>
      </c>
      <c r="G324" s="460"/>
    </row>
    <row r="325" spans="1:7" ht="18.75" customHeight="1" x14ac:dyDescent="0.3">
      <c r="A325" s="444" t="s">
        <v>416</v>
      </c>
      <c r="B325" s="444"/>
      <c r="C325" s="168">
        <v>3</v>
      </c>
      <c r="D325" s="460">
        <v>10000</v>
      </c>
      <c r="E325" s="460"/>
      <c r="F325" s="460">
        <f t="shared" si="10"/>
        <v>30000</v>
      </c>
      <c r="G325" s="460"/>
    </row>
    <row r="326" spans="1:7" ht="18.75" customHeight="1" x14ac:dyDescent="0.3">
      <c r="A326" s="444" t="s">
        <v>417</v>
      </c>
      <c r="B326" s="444"/>
      <c r="C326" s="168">
        <v>5</v>
      </c>
      <c r="D326" s="460">
        <v>3000</v>
      </c>
      <c r="E326" s="460"/>
      <c r="F326" s="460">
        <f t="shared" si="10"/>
        <v>15000</v>
      </c>
      <c r="G326" s="460"/>
    </row>
    <row r="327" spans="1:7" ht="18.75" customHeight="1" x14ac:dyDescent="0.3">
      <c r="A327" s="444" t="s">
        <v>418</v>
      </c>
      <c r="B327" s="444"/>
      <c r="C327" s="168">
        <v>2</v>
      </c>
      <c r="D327" s="460">
        <v>4000</v>
      </c>
      <c r="E327" s="460"/>
      <c r="F327" s="460">
        <f t="shared" si="10"/>
        <v>8000</v>
      </c>
      <c r="G327" s="460"/>
    </row>
    <row r="328" spans="1:7" ht="18.75" customHeight="1" x14ac:dyDescent="0.3">
      <c r="A328" s="592" t="s">
        <v>419</v>
      </c>
      <c r="B328" s="592"/>
      <c r="C328" s="168">
        <v>8</v>
      </c>
      <c r="D328" s="460">
        <v>5500</v>
      </c>
      <c r="E328" s="460"/>
      <c r="F328" s="460">
        <f t="shared" si="10"/>
        <v>44000</v>
      </c>
      <c r="G328" s="460"/>
    </row>
    <row r="329" spans="1:7" ht="18" x14ac:dyDescent="0.3">
      <c r="A329" s="416" t="s">
        <v>361</v>
      </c>
      <c r="B329" s="416"/>
      <c r="C329" s="11"/>
      <c r="D329" s="416"/>
      <c r="E329" s="416"/>
      <c r="F329" s="417">
        <f>'платные на 2023-2024 год'!D94</f>
        <v>1500000</v>
      </c>
      <c r="G329" s="417"/>
    </row>
    <row r="330" spans="1:7" ht="17.399999999999999" x14ac:dyDescent="0.3">
      <c r="A330" s="6"/>
    </row>
    <row r="331" spans="1:7" ht="17.399999999999999" x14ac:dyDescent="0.3">
      <c r="A331" s="6"/>
    </row>
    <row r="332" spans="1:7" ht="17.399999999999999" x14ac:dyDescent="0.3">
      <c r="A332" s="6"/>
    </row>
    <row r="333" spans="1:7" ht="17.399999999999999" x14ac:dyDescent="0.3">
      <c r="A333" s="6"/>
    </row>
    <row r="334" spans="1:7" ht="17.399999999999999" x14ac:dyDescent="0.3">
      <c r="A334" s="6"/>
    </row>
    <row r="335" spans="1:7" ht="17.399999999999999" x14ac:dyDescent="0.3">
      <c r="A335" s="6"/>
    </row>
    <row r="336" spans="1:7" ht="17.399999999999999" hidden="1" x14ac:dyDescent="0.3">
      <c r="A336" s="6"/>
    </row>
    <row r="337" spans="1:7" ht="17.399999999999999" hidden="1" x14ac:dyDescent="0.3">
      <c r="A337" s="6"/>
    </row>
    <row r="338" spans="1:7" ht="17.399999999999999" hidden="1" x14ac:dyDescent="0.3">
      <c r="A338" s="6"/>
    </row>
    <row r="339" spans="1:7" ht="17.399999999999999" x14ac:dyDescent="0.3">
      <c r="A339" s="424" t="s">
        <v>250</v>
      </c>
      <c r="B339" s="424"/>
      <c r="C339" s="424"/>
      <c r="D339" s="424"/>
      <c r="E339" s="424"/>
      <c r="F339" s="424"/>
      <c r="G339" s="424"/>
    </row>
    <row r="340" spans="1:7" ht="9.6" customHeight="1" x14ac:dyDescent="0.3">
      <c r="A340" s="7"/>
    </row>
    <row r="341" spans="1:7" ht="18" x14ac:dyDescent="0.35">
      <c r="A341" s="7" t="s">
        <v>144</v>
      </c>
      <c r="B341" s="8">
        <v>244</v>
      </c>
    </row>
    <row r="342" spans="1:7" ht="15.6" customHeight="1" x14ac:dyDescent="0.3">
      <c r="A342" s="6"/>
    </row>
    <row r="343" spans="1:7" ht="13.95" customHeight="1" x14ac:dyDescent="0.3">
      <c r="A343" s="416" t="s">
        <v>85</v>
      </c>
      <c r="B343" s="416"/>
      <c r="C343" s="115" t="s">
        <v>141</v>
      </c>
      <c r="D343" s="416" t="s">
        <v>142</v>
      </c>
      <c r="E343" s="416"/>
      <c r="F343" s="416" t="s">
        <v>149</v>
      </c>
      <c r="G343" s="416"/>
    </row>
    <row r="344" spans="1:7" ht="18" x14ac:dyDescent="0.3">
      <c r="A344" s="416">
        <v>1</v>
      </c>
      <c r="B344" s="416"/>
      <c r="C344" s="115">
        <v>2</v>
      </c>
      <c r="D344" s="416">
        <v>3</v>
      </c>
      <c r="E344" s="416"/>
      <c r="F344" s="416">
        <v>4</v>
      </c>
      <c r="G344" s="416"/>
    </row>
    <row r="345" spans="1:7" ht="18" customHeight="1" x14ac:dyDescent="0.3">
      <c r="A345" s="411" t="s">
        <v>420</v>
      </c>
      <c r="B345" s="411"/>
      <c r="C345" s="115">
        <v>12</v>
      </c>
      <c r="D345" s="417">
        <v>50000</v>
      </c>
      <c r="E345" s="417"/>
      <c r="F345" s="417">
        <f>C345*D345</f>
        <v>600000</v>
      </c>
      <c r="G345" s="417"/>
    </row>
    <row r="346" spans="1:7" ht="18" customHeight="1" x14ac:dyDescent="0.3">
      <c r="A346" s="411" t="s">
        <v>238</v>
      </c>
      <c r="B346" s="411"/>
      <c r="C346" s="11"/>
      <c r="D346" s="416"/>
      <c r="E346" s="416"/>
      <c r="F346" s="417">
        <f>'платные на 2023-2024 год'!D100</f>
        <v>600000</v>
      </c>
      <c r="G346" s="417"/>
    </row>
    <row r="347" spans="1:7" ht="18" customHeight="1" x14ac:dyDescent="0.3">
      <c r="A347" s="515" t="s">
        <v>421</v>
      </c>
      <c r="B347" s="515"/>
      <c r="C347" s="172">
        <v>200</v>
      </c>
      <c r="D347" s="427">
        <v>1000</v>
      </c>
      <c r="E347" s="427"/>
      <c r="F347" s="516">
        <f>C347*D347</f>
        <v>200000</v>
      </c>
      <c r="G347" s="516"/>
    </row>
    <row r="348" spans="1:7" ht="18" customHeight="1" x14ac:dyDescent="0.3">
      <c r="A348" s="411" t="s">
        <v>239</v>
      </c>
      <c r="B348" s="411"/>
      <c r="C348" s="11"/>
      <c r="D348" s="416"/>
      <c r="E348" s="416"/>
      <c r="F348" s="417">
        <f>'платные на 2023-2024 год'!D101</f>
        <v>200000</v>
      </c>
      <c r="G348" s="417"/>
    </row>
    <row r="349" spans="1:7" ht="18" customHeight="1" x14ac:dyDescent="0.3">
      <c r="A349" s="515" t="s">
        <v>422</v>
      </c>
      <c r="B349" s="515"/>
      <c r="C349" s="172">
        <v>300</v>
      </c>
      <c r="D349" s="427">
        <v>500</v>
      </c>
      <c r="E349" s="427"/>
      <c r="F349" s="516">
        <f>C349*D349</f>
        <v>150000</v>
      </c>
      <c r="G349" s="516"/>
    </row>
    <row r="350" spans="1:7" ht="18" customHeight="1" x14ac:dyDescent="0.3">
      <c r="A350" s="411" t="s">
        <v>240</v>
      </c>
      <c r="B350" s="411"/>
      <c r="C350" s="11"/>
      <c r="D350" s="416"/>
      <c r="E350" s="416"/>
      <c r="F350" s="417">
        <f>'платные на 2023-2024 год'!D102</f>
        <v>150000</v>
      </c>
      <c r="G350" s="417"/>
    </row>
    <row r="351" spans="1:7" ht="18" customHeight="1" x14ac:dyDescent="0.3">
      <c r="A351" s="515" t="s">
        <v>423</v>
      </c>
      <c r="B351" s="515"/>
      <c r="C351" s="172">
        <v>5750</v>
      </c>
      <c r="D351" s="427">
        <v>400</v>
      </c>
      <c r="E351" s="427"/>
      <c r="F351" s="516">
        <f>C351*D351</f>
        <v>2300000</v>
      </c>
      <c r="G351" s="516"/>
    </row>
    <row r="352" spans="1:7" ht="18" customHeight="1" x14ac:dyDescent="0.3">
      <c r="A352" s="411" t="s">
        <v>241</v>
      </c>
      <c r="B352" s="411"/>
      <c r="C352" s="11"/>
      <c r="D352" s="416"/>
      <c r="E352" s="416"/>
      <c r="F352" s="417">
        <f>'платные на 2023-2024 год'!D103</f>
        <v>2300000</v>
      </c>
      <c r="G352" s="417"/>
    </row>
    <row r="353" spans="1:7" ht="18" customHeight="1" x14ac:dyDescent="0.3">
      <c r="A353" s="515" t="s">
        <v>424</v>
      </c>
      <c r="B353" s="515"/>
      <c r="C353" s="172">
        <v>200</v>
      </c>
      <c r="D353" s="524">
        <v>1450</v>
      </c>
      <c r="E353" s="524"/>
      <c r="F353" s="516">
        <f>C353*D353</f>
        <v>290000</v>
      </c>
      <c r="G353" s="516"/>
    </row>
    <row r="354" spans="1:7" ht="18" x14ac:dyDescent="0.3">
      <c r="A354" s="411" t="s">
        <v>242</v>
      </c>
      <c r="B354" s="411"/>
      <c r="C354" s="11"/>
      <c r="D354" s="416"/>
      <c r="E354" s="416"/>
      <c r="F354" s="417">
        <f>'платные на 2023-2024 год'!D105</f>
        <v>290000</v>
      </c>
      <c r="G354" s="417"/>
    </row>
    <row r="355" spans="1:7" ht="18" x14ac:dyDescent="0.3">
      <c r="A355" s="13"/>
      <c r="B355" s="14"/>
      <c r="C355" s="14"/>
      <c r="D355" s="14"/>
      <c r="E355" s="14"/>
      <c r="F355" s="72"/>
      <c r="G355" s="72"/>
    </row>
    <row r="356" spans="1:7" ht="18" x14ac:dyDescent="0.35">
      <c r="A356" s="395" t="s">
        <v>150</v>
      </c>
      <c r="B356" s="395"/>
      <c r="C356" s="174"/>
      <c r="D356" s="400"/>
      <c r="E356" s="400"/>
      <c r="F356" s="400" t="s">
        <v>267</v>
      </c>
      <c r="G356" s="400"/>
    </row>
    <row r="357" spans="1:7" ht="18" x14ac:dyDescent="0.35">
      <c r="A357" s="27"/>
      <c r="B357" s="8"/>
      <c r="C357" s="174"/>
      <c r="D357" s="173"/>
      <c r="E357" s="173" t="s">
        <v>53</v>
      </c>
      <c r="F357" s="401" t="s">
        <v>54</v>
      </c>
      <c r="G357" s="401"/>
    </row>
    <row r="358" spans="1:7" ht="18" x14ac:dyDescent="0.35">
      <c r="A358" s="27"/>
      <c r="B358" s="8"/>
      <c r="C358" s="175"/>
      <c r="D358" s="114"/>
      <c r="E358" s="8"/>
      <c r="F358" s="95"/>
      <c r="G358" s="95"/>
    </row>
    <row r="359" spans="1:7" ht="18" x14ac:dyDescent="0.35">
      <c r="A359" s="395" t="s">
        <v>151</v>
      </c>
      <c r="B359" s="395"/>
      <c r="C359" s="174"/>
      <c r="D359" s="400"/>
      <c r="E359" s="400"/>
      <c r="F359" s="400" t="s">
        <v>464</v>
      </c>
      <c r="G359" s="400"/>
    </row>
    <row r="360" spans="1:7" ht="18" x14ac:dyDescent="0.35">
      <c r="A360" s="27"/>
      <c r="B360" s="8"/>
      <c r="C360" s="174"/>
      <c r="D360" s="173"/>
      <c r="E360" s="173" t="s">
        <v>53</v>
      </c>
      <c r="F360" s="401" t="s">
        <v>54</v>
      </c>
      <c r="G360" s="401"/>
    </row>
    <row r="361" spans="1:7" ht="18" x14ac:dyDescent="0.35">
      <c r="A361" s="27"/>
      <c r="B361" s="8"/>
      <c r="C361" s="175"/>
      <c r="D361" s="114"/>
      <c r="E361" s="8"/>
      <c r="F361" s="95"/>
      <c r="G361" s="95"/>
    </row>
    <row r="362" spans="1:7" ht="18" x14ac:dyDescent="0.35">
      <c r="A362" s="27" t="s">
        <v>152</v>
      </c>
      <c r="B362" s="8"/>
      <c r="C362" s="174"/>
      <c r="D362" s="400"/>
      <c r="E362" s="400"/>
      <c r="F362" s="400" t="s">
        <v>268</v>
      </c>
      <c r="G362" s="400"/>
    </row>
    <row r="363" spans="1:7" ht="18" x14ac:dyDescent="0.35">
      <c r="A363" s="27"/>
      <c r="B363" s="8"/>
      <c r="C363" s="174"/>
      <c r="D363" s="173"/>
      <c r="E363" s="173" t="s">
        <v>53</v>
      </c>
      <c r="F363" s="401" t="s">
        <v>54</v>
      </c>
      <c r="G363" s="401"/>
    </row>
    <row r="364" spans="1:7" ht="18" x14ac:dyDescent="0.35">
      <c r="A364" s="396" t="s">
        <v>428</v>
      </c>
      <c r="B364" s="396"/>
      <c r="C364" s="8"/>
      <c r="D364" s="8"/>
      <c r="E364" s="8"/>
      <c r="F364" s="8"/>
      <c r="G364" s="8"/>
    </row>
    <row r="365" spans="1:7" ht="18" x14ac:dyDescent="0.35">
      <c r="A365" s="396" t="s">
        <v>483</v>
      </c>
      <c r="B365" s="396"/>
      <c r="C365" s="8"/>
      <c r="D365" s="8"/>
      <c r="E365" s="8"/>
      <c r="F365" s="8"/>
      <c r="G365" s="8"/>
    </row>
  </sheetData>
  <mergeCells count="367">
    <mergeCell ref="A247:B247"/>
    <mergeCell ref="D247:E247"/>
    <mergeCell ref="F247:G247"/>
    <mergeCell ref="A251:B251"/>
    <mergeCell ref="D251:E251"/>
    <mergeCell ref="F251:G251"/>
    <mergeCell ref="A255:B255"/>
    <mergeCell ref="D255:E255"/>
    <mergeCell ref="F255:G255"/>
    <mergeCell ref="A252:B252"/>
    <mergeCell ref="D252:E252"/>
    <mergeCell ref="F252:G252"/>
    <mergeCell ref="A253:B253"/>
    <mergeCell ref="D253:E253"/>
    <mergeCell ref="F253:G253"/>
    <mergeCell ref="A254:B254"/>
    <mergeCell ref="D254:E254"/>
    <mergeCell ref="F254:G254"/>
    <mergeCell ref="A294:D294"/>
    <mergeCell ref="A295:D295"/>
    <mergeCell ref="A296:D296"/>
    <mergeCell ref="A365:B365"/>
    <mergeCell ref="F360:G360"/>
    <mergeCell ref="F362:G362"/>
    <mergeCell ref="F363:G363"/>
    <mergeCell ref="F356:G356"/>
    <mergeCell ref="F357:G357"/>
    <mergeCell ref="F359:G359"/>
    <mergeCell ref="D356:E356"/>
    <mergeCell ref="D359:E359"/>
    <mergeCell ref="D362:E362"/>
    <mergeCell ref="A359:B359"/>
    <mergeCell ref="A356:B356"/>
    <mergeCell ref="A364:B364"/>
    <mergeCell ref="D353:E353"/>
    <mergeCell ref="F353:G353"/>
    <mergeCell ref="D354:E354"/>
    <mergeCell ref="F354:G354"/>
    <mergeCell ref="D351:E351"/>
    <mergeCell ref="F351:G351"/>
    <mergeCell ref="D352:E352"/>
    <mergeCell ref="F352:G352"/>
    <mergeCell ref="A352:B352"/>
    <mergeCell ref="A354:B354"/>
    <mergeCell ref="A351:B351"/>
    <mergeCell ref="A353:B353"/>
    <mergeCell ref="A313:G313"/>
    <mergeCell ref="D317:E317"/>
    <mergeCell ref="F317:G317"/>
    <mergeCell ref="D318:E318"/>
    <mergeCell ref="F318:G318"/>
    <mergeCell ref="A323:B323"/>
    <mergeCell ref="D323:E323"/>
    <mergeCell ref="F323:G323"/>
    <mergeCell ref="A324:B324"/>
    <mergeCell ref="D324:E324"/>
    <mergeCell ref="F324:G324"/>
    <mergeCell ref="A319:B319"/>
    <mergeCell ref="A320:B320"/>
    <mergeCell ref="A321:B321"/>
    <mergeCell ref="A329:B329"/>
    <mergeCell ref="A345:B345"/>
    <mergeCell ref="A346:B346"/>
    <mergeCell ref="A343:B343"/>
    <mergeCell ref="A344:B344"/>
    <mergeCell ref="D329:E329"/>
    <mergeCell ref="C310:D310"/>
    <mergeCell ref="E310:G310"/>
    <mergeCell ref="A297:D297"/>
    <mergeCell ref="A298:D298"/>
    <mergeCell ref="A299:D299"/>
    <mergeCell ref="A300:D300"/>
    <mergeCell ref="A301:D301"/>
    <mergeCell ref="A302:D302"/>
    <mergeCell ref="A303:D303"/>
    <mergeCell ref="F298:G298"/>
    <mergeCell ref="F299:G299"/>
    <mergeCell ref="F300:G300"/>
    <mergeCell ref="F301:G301"/>
    <mergeCell ref="F302:G302"/>
    <mergeCell ref="F303:G303"/>
    <mergeCell ref="F292:G292"/>
    <mergeCell ref="F293:G293"/>
    <mergeCell ref="A270:C270"/>
    <mergeCell ref="D270:E270"/>
    <mergeCell ref="F270:G270"/>
    <mergeCell ref="F290:G290"/>
    <mergeCell ref="F291:G291"/>
    <mergeCell ref="A284:G284"/>
    <mergeCell ref="A288:D288"/>
    <mergeCell ref="A289:D289"/>
    <mergeCell ref="A290:D290"/>
    <mergeCell ref="A291:D291"/>
    <mergeCell ref="A292:D292"/>
    <mergeCell ref="A293:D293"/>
    <mergeCell ref="F288:G288"/>
    <mergeCell ref="F289:G289"/>
    <mergeCell ref="A267:C267"/>
    <mergeCell ref="D267:E267"/>
    <mergeCell ref="F267:G267"/>
    <mergeCell ref="A268:C268"/>
    <mergeCell ref="D268:E268"/>
    <mergeCell ref="F268:G268"/>
    <mergeCell ref="A269:C269"/>
    <mergeCell ref="D269:E269"/>
    <mergeCell ref="F269:G269"/>
    <mergeCell ref="A265:C265"/>
    <mergeCell ref="D265:E265"/>
    <mergeCell ref="F265:G265"/>
    <mergeCell ref="D263:E263"/>
    <mergeCell ref="F263:G263"/>
    <mergeCell ref="A263:C263"/>
    <mergeCell ref="A266:C266"/>
    <mergeCell ref="D266:E266"/>
    <mergeCell ref="F266:G266"/>
    <mergeCell ref="A237:B237"/>
    <mergeCell ref="A235:B235"/>
    <mergeCell ref="A236:B236"/>
    <mergeCell ref="A221:B221"/>
    <mergeCell ref="A222:B222"/>
    <mergeCell ref="A223:B223"/>
    <mergeCell ref="A264:C264"/>
    <mergeCell ref="D264:E264"/>
    <mergeCell ref="F264:G264"/>
    <mergeCell ref="A261:C261"/>
    <mergeCell ref="D261:E261"/>
    <mergeCell ref="F261:G261"/>
    <mergeCell ref="A243:B243"/>
    <mergeCell ref="D243:E243"/>
    <mergeCell ref="F243:G243"/>
    <mergeCell ref="A244:B244"/>
    <mergeCell ref="D244:E244"/>
    <mergeCell ref="F244:G244"/>
    <mergeCell ref="A245:B245"/>
    <mergeCell ref="D245:E245"/>
    <mergeCell ref="F245:G245"/>
    <mergeCell ref="A246:B246"/>
    <mergeCell ref="D246:E246"/>
    <mergeCell ref="F246:G246"/>
    <mergeCell ref="F211:G211"/>
    <mergeCell ref="A231:G231"/>
    <mergeCell ref="D235:E235"/>
    <mergeCell ref="F235:G235"/>
    <mergeCell ref="D236:E236"/>
    <mergeCell ref="F236:G236"/>
    <mergeCell ref="A257:G257"/>
    <mergeCell ref="A262:C262"/>
    <mergeCell ref="D262:E262"/>
    <mergeCell ref="F262:G262"/>
    <mergeCell ref="A214:G214"/>
    <mergeCell ref="D220:E220"/>
    <mergeCell ref="F220:G220"/>
    <mergeCell ref="D226:E226"/>
    <mergeCell ref="F226:G226"/>
    <mergeCell ref="D222:E222"/>
    <mergeCell ref="F222:G222"/>
    <mergeCell ref="A215:G215"/>
    <mergeCell ref="D219:E219"/>
    <mergeCell ref="F219:G219"/>
    <mergeCell ref="D224:E224"/>
    <mergeCell ref="F224:G224"/>
    <mergeCell ref="A219:B219"/>
    <mergeCell ref="A220:B220"/>
    <mergeCell ref="A239:G239"/>
    <mergeCell ref="D221:E221"/>
    <mergeCell ref="F221:G221"/>
    <mergeCell ref="D225:E225"/>
    <mergeCell ref="F225:G225"/>
    <mergeCell ref="A225:B225"/>
    <mergeCell ref="A226:B226"/>
    <mergeCell ref="D237:E237"/>
    <mergeCell ref="B205:C205"/>
    <mergeCell ref="D205:E205"/>
    <mergeCell ref="B206:C206"/>
    <mergeCell ref="D206:E206"/>
    <mergeCell ref="D223:E223"/>
    <mergeCell ref="F223:G223"/>
    <mergeCell ref="A224:B224"/>
    <mergeCell ref="F237:G237"/>
    <mergeCell ref="B212:C212"/>
    <mergeCell ref="D212:E212"/>
    <mergeCell ref="F212:G212"/>
    <mergeCell ref="B210:C210"/>
    <mergeCell ref="D210:E210"/>
    <mergeCell ref="F210:G210"/>
    <mergeCell ref="B211:C211"/>
    <mergeCell ref="D211:E211"/>
    <mergeCell ref="B204:C204"/>
    <mergeCell ref="D204:E204"/>
    <mergeCell ref="F204:G204"/>
    <mergeCell ref="F205:G206"/>
    <mergeCell ref="A200:G200"/>
    <mergeCell ref="B203:C203"/>
    <mergeCell ref="D203:E203"/>
    <mergeCell ref="F203:G203"/>
    <mergeCell ref="A205:A206"/>
    <mergeCell ref="A169:G169"/>
    <mergeCell ref="F173:G173"/>
    <mergeCell ref="F174:G174"/>
    <mergeCell ref="C177:E177"/>
    <mergeCell ref="F177:G177"/>
    <mergeCell ref="A175:B175"/>
    <mergeCell ref="D175:E175"/>
    <mergeCell ref="F175:G175"/>
    <mergeCell ref="A176:B176"/>
    <mergeCell ref="D176:E176"/>
    <mergeCell ref="F176:G176"/>
    <mergeCell ref="A173:B173"/>
    <mergeCell ref="D173:E173"/>
    <mergeCell ref="D174:E174"/>
    <mergeCell ref="A174:B174"/>
    <mergeCell ref="A177:B177"/>
    <mergeCell ref="A161:G161"/>
    <mergeCell ref="C165:D165"/>
    <mergeCell ref="F165:G165"/>
    <mergeCell ref="C166:D166"/>
    <mergeCell ref="F166:G166"/>
    <mergeCell ref="C167:D167"/>
    <mergeCell ref="F167:G167"/>
    <mergeCell ref="B156:C156"/>
    <mergeCell ref="D156:E156"/>
    <mergeCell ref="F156:G156"/>
    <mergeCell ref="B159:C159"/>
    <mergeCell ref="D159:E159"/>
    <mergeCell ref="F159:G159"/>
    <mergeCell ref="B157:C157"/>
    <mergeCell ref="D157:E157"/>
    <mergeCell ref="F157:G157"/>
    <mergeCell ref="B158:C158"/>
    <mergeCell ref="D158:E158"/>
    <mergeCell ref="F158:G158"/>
    <mergeCell ref="D43:F43"/>
    <mergeCell ref="A150:G150"/>
    <mergeCell ref="A154:A155"/>
    <mergeCell ref="B154:C155"/>
    <mergeCell ref="D154:E155"/>
    <mergeCell ref="F154:G155"/>
    <mergeCell ref="B31:C31"/>
    <mergeCell ref="D31:E31"/>
    <mergeCell ref="F31:G31"/>
    <mergeCell ref="A36:G36"/>
    <mergeCell ref="A38:G38"/>
    <mergeCell ref="A42:A44"/>
    <mergeCell ref="B42:B44"/>
    <mergeCell ref="C42:F42"/>
    <mergeCell ref="G42:G44"/>
    <mergeCell ref="C43:C44"/>
    <mergeCell ref="B32:C32"/>
    <mergeCell ref="D32:E32"/>
    <mergeCell ref="F32:G32"/>
    <mergeCell ref="C139:F139"/>
    <mergeCell ref="B29:C29"/>
    <mergeCell ref="D29:E29"/>
    <mergeCell ref="F29:G29"/>
    <mergeCell ref="B30:C30"/>
    <mergeCell ref="D30:E30"/>
    <mergeCell ref="F30:G30"/>
    <mergeCell ref="A23:G23"/>
    <mergeCell ref="B27:C27"/>
    <mergeCell ref="D27:E27"/>
    <mergeCell ref="F27:G27"/>
    <mergeCell ref="B28:C28"/>
    <mergeCell ref="D28:E28"/>
    <mergeCell ref="F28:G28"/>
    <mergeCell ref="B21:C21"/>
    <mergeCell ref="D21:E21"/>
    <mergeCell ref="F21:G21"/>
    <mergeCell ref="B19:C19"/>
    <mergeCell ref="D19:E19"/>
    <mergeCell ref="F19:G19"/>
    <mergeCell ref="B20:C20"/>
    <mergeCell ref="D20:E20"/>
    <mergeCell ref="F20:G20"/>
    <mergeCell ref="A15:G15"/>
    <mergeCell ref="B10:C10"/>
    <mergeCell ref="D10:E10"/>
    <mergeCell ref="F10:G10"/>
    <mergeCell ref="B11:C11"/>
    <mergeCell ref="D11:E11"/>
    <mergeCell ref="F11:G1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F13:G13"/>
    <mergeCell ref="B13:C13"/>
    <mergeCell ref="D13:E13"/>
    <mergeCell ref="C189:D189"/>
    <mergeCell ref="F189:G189"/>
    <mergeCell ref="C190:D190"/>
    <mergeCell ref="F190:G190"/>
    <mergeCell ref="A184:G184"/>
    <mergeCell ref="C188:D188"/>
    <mergeCell ref="F188:G188"/>
    <mergeCell ref="B198:C198"/>
    <mergeCell ref="D198:E198"/>
    <mergeCell ref="F198:G198"/>
    <mergeCell ref="A192:G192"/>
    <mergeCell ref="B196:C196"/>
    <mergeCell ref="D196:E196"/>
    <mergeCell ref="F196:G196"/>
    <mergeCell ref="B197:C197"/>
    <mergeCell ref="D197:E197"/>
    <mergeCell ref="F197:G197"/>
    <mergeCell ref="F294:G294"/>
    <mergeCell ref="F295:G295"/>
    <mergeCell ref="F296:G296"/>
    <mergeCell ref="F297:G297"/>
    <mergeCell ref="F328:G328"/>
    <mergeCell ref="A317:B317"/>
    <mergeCell ref="A318:B318"/>
    <mergeCell ref="D322:E322"/>
    <mergeCell ref="F322:G322"/>
    <mergeCell ref="A322:B322"/>
    <mergeCell ref="A311:B311"/>
    <mergeCell ref="C311:D311"/>
    <mergeCell ref="E311:G311"/>
    <mergeCell ref="D321:E321"/>
    <mergeCell ref="F321:G321"/>
    <mergeCell ref="D319:E319"/>
    <mergeCell ref="F319:G319"/>
    <mergeCell ref="D320:E320"/>
    <mergeCell ref="F320:G320"/>
    <mergeCell ref="A305:G305"/>
    <mergeCell ref="A309:B309"/>
    <mergeCell ref="C309:D309"/>
    <mergeCell ref="E309:G309"/>
    <mergeCell ref="A310:B310"/>
    <mergeCell ref="D325:E325"/>
    <mergeCell ref="F325:G325"/>
    <mergeCell ref="A326:B326"/>
    <mergeCell ref="D326:E326"/>
    <mergeCell ref="F326:G326"/>
    <mergeCell ref="A327:B327"/>
    <mergeCell ref="D327:E327"/>
    <mergeCell ref="F327:G327"/>
    <mergeCell ref="A328:B328"/>
    <mergeCell ref="D328:E328"/>
    <mergeCell ref="E1:G1"/>
    <mergeCell ref="A347:B347"/>
    <mergeCell ref="A349:B349"/>
    <mergeCell ref="A348:B348"/>
    <mergeCell ref="A350:B350"/>
    <mergeCell ref="A339:G339"/>
    <mergeCell ref="D343:E343"/>
    <mergeCell ref="F343:G343"/>
    <mergeCell ref="D344:E344"/>
    <mergeCell ref="F344:G344"/>
    <mergeCell ref="D345:E345"/>
    <mergeCell ref="F345:G345"/>
    <mergeCell ref="D346:E346"/>
    <mergeCell ref="F346:G346"/>
    <mergeCell ref="D347:E347"/>
    <mergeCell ref="F347:G347"/>
    <mergeCell ref="D349:E349"/>
    <mergeCell ref="F349:G349"/>
    <mergeCell ref="D350:E350"/>
    <mergeCell ref="F350:G350"/>
    <mergeCell ref="D348:E348"/>
    <mergeCell ref="F348:G348"/>
    <mergeCell ref="F329:G329"/>
    <mergeCell ref="A325:B325"/>
  </mergeCells>
  <pageMargins left="1.3779527559055118" right="0.39370078740157483" top="0.98425196850393704" bottom="0.78740157480314965" header="0.31496062992125984" footer="0.31496062992125984"/>
  <pageSetup paperSize="9" scale="6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382"/>
  <sheetViews>
    <sheetView view="pageLayout" topLeftCell="A366" zoomScaleNormal="100" workbookViewId="0">
      <selection activeCell="C379" sqref="C379:D379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7" width="16.44140625" style="5" customWidth="1"/>
    <col min="8" max="16384" width="8.88671875" style="5"/>
  </cols>
  <sheetData>
    <row r="1" spans="1:7" ht="45.75" customHeight="1" x14ac:dyDescent="0.3">
      <c r="A1" s="432" t="s">
        <v>478</v>
      </c>
      <c r="B1" s="432"/>
      <c r="C1" s="432"/>
      <c r="D1" s="432"/>
      <c r="E1" s="432"/>
      <c r="F1" s="432"/>
      <c r="G1" s="432"/>
    </row>
    <row r="2" spans="1:7" ht="35.4" customHeight="1" x14ac:dyDescent="0.3">
      <c r="A2" s="432" t="s">
        <v>479</v>
      </c>
      <c r="B2" s="432"/>
      <c r="C2" s="432"/>
      <c r="D2" s="432"/>
      <c r="E2" s="432"/>
      <c r="F2" s="432"/>
      <c r="G2" s="432"/>
    </row>
    <row r="3" spans="1:7" ht="31.95" customHeight="1" x14ac:dyDescent="0.3">
      <c r="A3" s="432" t="s">
        <v>167</v>
      </c>
      <c r="B3" s="432"/>
      <c r="C3" s="432"/>
      <c r="D3" s="432"/>
      <c r="E3" s="432"/>
      <c r="F3" s="432"/>
      <c r="G3" s="432"/>
    </row>
    <row r="4" spans="1:7" ht="17.399999999999999" x14ac:dyDescent="0.3">
      <c r="A4" s="96"/>
    </row>
    <row r="5" spans="1:7" ht="18" x14ac:dyDescent="0.35">
      <c r="A5" s="7" t="s">
        <v>252</v>
      </c>
      <c r="B5" s="8">
        <v>120</v>
      </c>
    </row>
    <row r="6" spans="1:7" ht="15" x14ac:dyDescent="0.3">
      <c r="A6" s="9"/>
    </row>
    <row r="7" spans="1:7" ht="79.95" customHeight="1" x14ac:dyDescent="0.3">
      <c r="A7" s="97" t="s">
        <v>85</v>
      </c>
      <c r="B7" s="416" t="s">
        <v>165</v>
      </c>
      <c r="C7" s="416"/>
      <c r="D7" s="416" t="s">
        <v>166</v>
      </c>
      <c r="E7" s="416"/>
      <c r="F7" s="416" t="s">
        <v>93</v>
      </c>
      <c r="G7" s="416"/>
    </row>
    <row r="8" spans="1:7" ht="18" x14ac:dyDescent="0.3">
      <c r="A8" s="97">
        <v>1</v>
      </c>
      <c r="B8" s="416">
        <v>2</v>
      </c>
      <c r="C8" s="416"/>
      <c r="D8" s="416">
        <v>3</v>
      </c>
      <c r="E8" s="416"/>
      <c r="F8" s="416">
        <v>4</v>
      </c>
      <c r="G8" s="416"/>
    </row>
    <row r="9" spans="1:7" ht="36" x14ac:dyDescent="0.3">
      <c r="A9" s="11" t="s">
        <v>168</v>
      </c>
      <c r="B9" s="417">
        <v>8867.25</v>
      </c>
      <c r="C9" s="417"/>
      <c r="D9" s="416">
        <v>12</v>
      </c>
      <c r="E9" s="416"/>
      <c r="F9" s="417">
        <v>106407</v>
      </c>
      <c r="G9" s="417"/>
    </row>
    <row r="10" spans="1:7" ht="36" x14ac:dyDescent="0.3">
      <c r="A10" s="206" t="s">
        <v>434</v>
      </c>
      <c r="B10" s="452">
        <v>17182.75</v>
      </c>
      <c r="C10" s="453"/>
      <c r="D10" s="408">
        <v>12</v>
      </c>
      <c r="E10" s="410"/>
      <c r="F10" s="452">
        <v>206193</v>
      </c>
      <c r="G10" s="453"/>
    </row>
    <row r="11" spans="1:7" ht="18" x14ac:dyDescent="0.3">
      <c r="A11" s="206" t="s">
        <v>361</v>
      </c>
      <c r="B11" s="417"/>
      <c r="C11" s="417"/>
      <c r="D11" s="416"/>
      <c r="E11" s="416"/>
      <c r="F11" s="417">
        <f>SUM(F9:F10)</f>
        <v>312600</v>
      </c>
      <c r="G11" s="417"/>
    </row>
    <row r="12" spans="1:7" ht="17.399999999999999" x14ac:dyDescent="0.3">
      <c r="A12" s="96"/>
    </row>
    <row r="13" spans="1:7" ht="43.95" customHeight="1" x14ac:dyDescent="0.3">
      <c r="A13" s="432" t="s">
        <v>173</v>
      </c>
      <c r="B13" s="432"/>
      <c r="C13" s="432"/>
      <c r="D13" s="432"/>
      <c r="E13" s="432"/>
      <c r="F13" s="432"/>
      <c r="G13" s="432"/>
    </row>
    <row r="14" spans="1:7" ht="17.399999999999999" x14ac:dyDescent="0.3">
      <c r="A14" s="99"/>
      <c r="B14" s="99"/>
      <c r="C14" s="99"/>
      <c r="D14" s="99"/>
      <c r="E14" s="99"/>
      <c r="F14" s="99"/>
      <c r="G14" s="99"/>
    </row>
    <row r="15" spans="1:7" ht="18" x14ac:dyDescent="0.35">
      <c r="A15" s="7" t="s">
        <v>252</v>
      </c>
      <c r="B15" s="8">
        <v>130</v>
      </c>
    </row>
    <row r="16" spans="1:7" ht="15" x14ac:dyDescent="0.3">
      <c r="A16" s="9"/>
    </row>
    <row r="17" spans="1:7" ht="41.4" customHeight="1" x14ac:dyDescent="0.3">
      <c r="A17" s="97" t="s">
        <v>85</v>
      </c>
      <c r="B17" s="416" t="s">
        <v>171</v>
      </c>
      <c r="C17" s="416"/>
      <c r="D17" s="416" t="s">
        <v>172</v>
      </c>
      <c r="E17" s="416"/>
      <c r="F17" s="416" t="s">
        <v>93</v>
      </c>
      <c r="G17" s="416"/>
    </row>
    <row r="18" spans="1:7" ht="18" x14ac:dyDescent="0.3">
      <c r="A18" s="97">
        <v>1</v>
      </c>
      <c r="B18" s="416">
        <v>2</v>
      </c>
      <c r="C18" s="416"/>
      <c r="D18" s="416">
        <v>3</v>
      </c>
      <c r="E18" s="416"/>
      <c r="F18" s="416">
        <v>4</v>
      </c>
      <c r="G18" s="416"/>
    </row>
    <row r="19" spans="1:7" ht="72" x14ac:dyDescent="0.3">
      <c r="A19" s="11" t="s">
        <v>163</v>
      </c>
      <c r="B19" s="529">
        <v>56667</v>
      </c>
      <c r="C19" s="529"/>
      <c r="D19" s="417">
        <v>464.11</v>
      </c>
      <c r="E19" s="417"/>
      <c r="F19" s="417">
        <f>'платные на 2023-2024 год'!G13</f>
        <v>26300000</v>
      </c>
      <c r="G19" s="417"/>
    </row>
    <row r="20" spans="1:7" ht="17.399999999999999" x14ac:dyDescent="0.3">
      <c r="A20" s="96"/>
    </row>
    <row r="21" spans="1:7" ht="17.399999999999999" x14ac:dyDescent="0.3">
      <c r="A21" s="432" t="s">
        <v>254</v>
      </c>
      <c r="B21" s="432"/>
      <c r="C21" s="432"/>
      <c r="D21" s="432"/>
      <c r="E21" s="432"/>
      <c r="F21" s="432"/>
      <c r="G21" s="432"/>
    </row>
    <row r="22" spans="1:7" ht="18" x14ac:dyDescent="0.3">
      <c r="A22" s="13"/>
      <c r="B22" s="17"/>
      <c r="C22" s="17"/>
      <c r="D22" s="17"/>
      <c r="E22" s="17"/>
      <c r="F22" s="75"/>
      <c r="G22" s="75"/>
    </row>
    <row r="23" spans="1:7" ht="18" x14ac:dyDescent="0.35">
      <c r="A23" s="7" t="s">
        <v>252</v>
      </c>
      <c r="B23" s="8">
        <v>180</v>
      </c>
    </row>
    <row r="24" spans="1:7" ht="15" x14ac:dyDescent="0.3">
      <c r="A24" s="9"/>
    </row>
    <row r="25" spans="1:7" ht="43.95" customHeight="1" x14ac:dyDescent="0.3">
      <c r="A25" s="231" t="s">
        <v>85</v>
      </c>
      <c r="B25" s="416" t="s">
        <v>141</v>
      </c>
      <c r="C25" s="416"/>
      <c r="D25" s="416" t="s">
        <v>181</v>
      </c>
      <c r="E25" s="416"/>
      <c r="F25" s="416" t="s">
        <v>93</v>
      </c>
      <c r="G25" s="416"/>
    </row>
    <row r="26" spans="1:7" ht="18" x14ac:dyDescent="0.3">
      <c r="A26" s="231">
        <v>1</v>
      </c>
      <c r="B26" s="416">
        <v>2</v>
      </c>
      <c r="C26" s="416"/>
      <c r="D26" s="416">
        <v>3</v>
      </c>
      <c r="E26" s="416"/>
      <c r="F26" s="416">
        <v>4</v>
      </c>
      <c r="G26" s="416"/>
    </row>
    <row r="27" spans="1:7" ht="18" x14ac:dyDescent="0.3">
      <c r="A27" s="230" t="s">
        <v>193</v>
      </c>
      <c r="B27" s="416" t="s">
        <v>116</v>
      </c>
      <c r="C27" s="416"/>
      <c r="D27" s="416" t="s">
        <v>116</v>
      </c>
      <c r="E27" s="416"/>
      <c r="F27" s="417">
        <f>'платные на 2023-2024 год'!G108</f>
        <v>0</v>
      </c>
      <c r="G27" s="416"/>
    </row>
    <row r="28" spans="1:7" ht="54" x14ac:dyDescent="0.3">
      <c r="A28" s="230" t="s">
        <v>194</v>
      </c>
      <c r="B28" s="416" t="s">
        <v>116</v>
      </c>
      <c r="C28" s="416"/>
      <c r="D28" s="416" t="s">
        <v>116</v>
      </c>
      <c r="E28" s="416"/>
      <c r="F28" s="417">
        <f>'платные на 2023-2024 год'!G109</f>
        <v>-144603</v>
      </c>
      <c r="G28" s="416"/>
    </row>
    <row r="29" spans="1:7" ht="54" x14ac:dyDescent="0.3">
      <c r="A29" s="230" t="s">
        <v>195</v>
      </c>
      <c r="B29" s="416" t="s">
        <v>116</v>
      </c>
      <c r="C29" s="416"/>
      <c r="D29" s="416" t="s">
        <v>116</v>
      </c>
      <c r="E29" s="416"/>
      <c r="F29" s="417">
        <f>'платные на 2023-2024 год'!G110</f>
        <v>0</v>
      </c>
      <c r="G29" s="416"/>
    </row>
    <row r="30" spans="1:7" ht="18" x14ac:dyDescent="0.3">
      <c r="A30" s="230" t="s">
        <v>361</v>
      </c>
      <c r="B30" s="416"/>
      <c r="C30" s="416"/>
      <c r="D30" s="416"/>
      <c r="E30" s="416"/>
      <c r="F30" s="417">
        <f>SUM(F27:F29)</f>
        <v>-144603</v>
      </c>
      <c r="G30" s="416"/>
    </row>
    <row r="31" spans="1:7" ht="18" x14ac:dyDescent="0.3">
      <c r="A31" s="13"/>
      <c r="B31" s="17"/>
      <c r="C31" s="17"/>
      <c r="D31" s="17"/>
      <c r="E31" s="17"/>
      <c r="F31" s="17"/>
      <c r="G31" s="17"/>
    </row>
    <row r="32" spans="1:7" ht="18" x14ac:dyDescent="0.3">
      <c r="A32" s="13"/>
      <c r="B32" s="17"/>
      <c r="C32" s="17"/>
      <c r="D32" s="17"/>
      <c r="E32" s="17"/>
      <c r="F32" s="17"/>
      <c r="G32" s="17"/>
    </row>
    <row r="33" spans="1:7" ht="18" x14ac:dyDescent="0.3">
      <c r="A33" s="13"/>
      <c r="B33" s="17"/>
      <c r="C33" s="17"/>
      <c r="D33" s="17"/>
      <c r="E33" s="17"/>
      <c r="F33" s="17"/>
      <c r="G33" s="17"/>
    </row>
    <row r="34" spans="1:7" ht="18" x14ac:dyDescent="0.3">
      <c r="A34" s="13"/>
      <c r="B34" s="17"/>
      <c r="C34" s="17"/>
      <c r="D34" s="17"/>
      <c r="E34" s="17"/>
      <c r="F34" s="17"/>
      <c r="G34" s="17"/>
    </row>
    <row r="35" spans="1:7" ht="18" x14ac:dyDescent="0.3">
      <c r="A35" s="13"/>
      <c r="B35" s="17"/>
      <c r="C35" s="17"/>
      <c r="D35" s="17"/>
      <c r="E35" s="17"/>
      <c r="F35" s="17"/>
      <c r="G35" s="17"/>
    </row>
    <row r="36" spans="1:7" ht="18" x14ac:dyDescent="0.3">
      <c r="A36" s="13"/>
      <c r="B36" s="17"/>
      <c r="C36" s="17"/>
      <c r="D36" s="17"/>
      <c r="E36" s="17"/>
      <c r="F36" s="17"/>
      <c r="G36" s="17"/>
    </row>
    <row r="37" spans="1:7" ht="18" x14ac:dyDescent="0.3">
      <c r="A37" s="13"/>
      <c r="B37" s="17"/>
      <c r="C37" s="17"/>
      <c r="D37" s="17"/>
      <c r="E37" s="17"/>
      <c r="F37" s="17"/>
      <c r="G37" s="17"/>
    </row>
    <row r="38" spans="1:7" ht="18" x14ac:dyDescent="0.3">
      <c r="A38" s="13"/>
      <c r="B38" s="17"/>
      <c r="C38" s="17"/>
      <c r="D38" s="17"/>
      <c r="E38" s="17"/>
      <c r="F38" s="17"/>
      <c r="G38" s="17"/>
    </row>
    <row r="39" spans="1:7" ht="18" x14ac:dyDescent="0.3">
      <c r="A39" s="13"/>
      <c r="B39" s="17"/>
      <c r="C39" s="17"/>
      <c r="D39" s="17"/>
      <c r="E39" s="17"/>
      <c r="F39" s="17"/>
      <c r="G39" s="17"/>
    </row>
    <row r="40" spans="1:7" ht="18" x14ac:dyDescent="0.3">
      <c r="A40" s="13"/>
      <c r="B40" s="17"/>
      <c r="C40" s="17"/>
      <c r="D40" s="17"/>
      <c r="E40" s="17"/>
      <c r="F40" s="17"/>
      <c r="G40" s="17"/>
    </row>
    <row r="41" spans="1:7" ht="45" customHeight="1" x14ac:dyDescent="0.3">
      <c r="A41" s="432" t="s">
        <v>480</v>
      </c>
      <c r="B41" s="432"/>
      <c r="C41" s="432"/>
      <c r="D41" s="432"/>
      <c r="E41" s="432"/>
      <c r="F41" s="432"/>
      <c r="G41" s="432"/>
    </row>
    <row r="42" spans="1:7" ht="17.399999999999999" x14ac:dyDescent="0.3">
      <c r="A42" s="6"/>
    </row>
    <row r="43" spans="1:7" ht="17.399999999999999" x14ac:dyDescent="0.3">
      <c r="A43" s="415" t="s">
        <v>188</v>
      </c>
      <c r="B43" s="415"/>
      <c r="C43" s="415"/>
      <c r="D43" s="415"/>
      <c r="E43" s="415"/>
      <c r="F43" s="415"/>
      <c r="G43" s="415"/>
    </row>
    <row r="44" spans="1:7" ht="18" x14ac:dyDescent="0.3">
      <c r="A44" s="7"/>
    </row>
    <row r="45" spans="1:7" ht="18" x14ac:dyDescent="0.35">
      <c r="A45" s="7" t="s">
        <v>144</v>
      </c>
      <c r="B45" s="8">
        <v>111</v>
      </c>
    </row>
    <row r="46" spans="1:7" ht="15" x14ac:dyDescent="0.3">
      <c r="A46" s="9"/>
    </row>
    <row r="47" spans="1:7" ht="54" customHeight="1" x14ac:dyDescent="0.3">
      <c r="A47" s="416" t="s">
        <v>75</v>
      </c>
      <c r="B47" s="416" t="s">
        <v>76</v>
      </c>
      <c r="C47" s="416" t="s">
        <v>77</v>
      </c>
      <c r="D47" s="416"/>
      <c r="E47" s="416"/>
      <c r="F47" s="416"/>
      <c r="G47" s="416" t="s">
        <v>78</v>
      </c>
    </row>
    <row r="48" spans="1:7" ht="18" x14ac:dyDescent="0.3">
      <c r="A48" s="416"/>
      <c r="B48" s="416"/>
      <c r="C48" s="416" t="s">
        <v>79</v>
      </c>
      <c r="D48" s="416" t="s">
        <v>6</v>
      </c>
      <c r="E48" s="416"/>
      <c r="F48" s="416"/>
      <c r="G48" s="416"/>
    </row>
    <row r="49" spans="1:7" ht="72" x14ac:dyDescent="0.3">
      <c r="A49" s="416"/>
      <c r="B49" s="416"/>
      <c r="C49" s="416"/>
      <c r="D49" s="10" t="s">
        <v>80</v>
      </c>
      <c r="E49" s="10" t="s">
        <v>81</v>
      </c>
      <c r="F49" s="10" t="s">
        <v>82</v>
      </c>
      <c r="G49" s="416"/>
    </row>
    <row r="50" spans="1:7" ht="18" x14ac:dyDescent="0.3">
      <c r="A50" s="156">
        <v>1</v>
      </c>
      <c r="B50" s="156">
        <v>2</v>
      </c>
      <c r="C50" s="156">
        <v>3</v>
      </c>
      <c r="D50" s="156">
        <v>4</v>
      </c>
      <c r="E50" s="156">
        <v>4</v>
      </c>
      <c r="F50" s="156">
        <v>5</v>
      </c>
      <c r="G50" s="156">
        <v>7</v>
      </c>
    </row>
    <row r="51" spans="1:7" x14ac:dyDescent="0.3">
      <c r="A51" s="185" t="s">
        <v>269</v>
      </c>
      <c r="B51" s="186">
        <v>1</v>
      </c>
      <c r="C51" s="233">
        <f t="shared" ref="C51:C58" si="0">SUM(D51:F51)</f>
        <v>9886.69</v>
      </c>
      <c r="D51" s="188"/>
      <c r="E51" s="233"/>
      <c r="F51" s="233">
        <v>9886.69</v>
      </c>
      <c r="G51" s="233">
        <f t="shared" ref="G51:G119" si="1">C51*B51*12</f>
        <v>118640.28</v>
      </c>
    </row>
    <row r="52" spans="1:7" x14ac:dyDescent="0.3">
      <c r="A52" s="189" t="s">
        <v>270</v>
      </c>
      <c r="B52" s="186">
        <v>2</v>
      </c>
      <c r="C52" s="233">
        <f t="shared" si="0"/>
        <v>6907.61</v>
      </c>
      <c r="D52" s="188"/>
      <c r="E52" s="233"/>
      <c r="F52" s="233">
        <v>6907.61</v>
      </c>
      <c r="G52" s="233">
        <f t="shared" si="1"/>
        <v>165782.63999999998</v>
      </c>
    </row>
    <row r="53" spans="1:7" x14ac:dyDescent="0.3">
      <c r="A53" s="185" t="s">
        <v>271</v>
      </c>
      <c r="B53" s="186">
        <v>1</v>
      </c>
      <c r="C53" s="233">
        <f t="shared" si="0"/>
        <v>5505.39</v>
      </c>
      <c r="D53" s="188"/>
      <c r="E53" s="190"/>
      <c r="F53" s="233">
        <v>5505.39</v>
      </c>
      <c r="G53" s="233">
        <f t="shared" si="1"/>
        <v>66064.680000000008</v>
      </c>
    </row>
    <row r="54" spans="1:7" x14ac:dyDescent="0.3">
      <c r="A54" s="185" t="s">
        <v>272</v>
      </c>
      <c r="B54" s="186">
        <v>1</v>
      </c>
      <c r="C54" s="233">
        <f t="shared" si="0"/>
        <v>5323.02</v>
      </c>
      <c r="D54" s="188"/>
      <c r="E54" s="233"/>
      <c r="F54" s="233">
        <v>5323.02</v>
      </c>
      <c r="G54" s="233">
        <f t="shared" si="1"/>
        <v>63876.240000000005</v>
      </c>
    </row>
    <row r="55" spans="1:7" ht="26.4" x14ac:dyDescent="0.3">
      <c r="A55" s="185" t="s">
        <v>273</v>
      </c>
      <c r="B55" s="186">
        <v>2</v>
      </c>
      <c r="C55" s="233">
        <f t="shared" si="0"/>
        <v>3132.02</v>
      </c>
      <c r="D55" s="188"/>
      <c r="E55" s="233"/>
      <c r="F55" s="233">
        <v>3132.02</v>
      </c>
      <c r="G55" s="233">
        <f t="shared" si="1"/>
        <v>75168.479999999996</v>
      </c>
    </row>
    <row r="56" spans="1:7" x14ac:dyDescent="0.3">
      <c r="A56" s="185" t="s">
        <v>274</v>
      </c>
      <c r="B56" s="186">
        <v>3</v>
      </c>
      <c r="C56" s="233">
        <f t="shared" si="0"/>
        <v>1862.3</v>
      </c>
      <c r="D56" s="188"/>
      <c r="E56" s="233"/>
      <c r="F56" s="233">
        <v>1862.3</v>
      </c>
      <c r="G56" s="233">
        <f t="shared" si="1"/>
        <v>67042.799999999988</v>
      </c>
    </row>
    <row r="57" spans="1:7" x14ac:dyDescent="0.3">
      <c r="A57" s="185" t="s">
        <v>275</v>
      </c>
      <c r="B57" s="186">
        <v>1</v>
      </c>
      <c r="C57" s="233">
        <f t="shared" si="0"/>
        <v>1769.75</v>
      </c>
      <c r="D57" s="188"/>
      <c r="E57" s="190"/>
      <c r="F57" s="233">
        <v>1769.75</v>
      </c>
      <c r="G57" s="233">
        <f t="shared" si="1"/>
        <v>21237</v>
      </c>
    </row>
    <row r="58" spans="1:7" ht="17.25" customHeight="1" x14ac:dyDescent="0.3">
      <c r="A58" s="185" t="s">
        <v>276</v>
      </c>
      <c r="B58" s="186">
        <v>0.5</v>
      </c>
      <c r="C58" s="233">
        <f t="shared" si="0"/>
        <v>1769.75</v>
      </c>
      <c r="D58" s="188"/>
      <c r="E58" s="190"/>
      <c r="F58" s="233">
        <v>1769.75</v>
      </c>
      <c r="G58" s="233">
        <f t="shared" si="1"/>
        <v>10618.5</v>
      </c>
    </row>
    <row r="59" spans="1:7" ht="15" customHeight="1" x14ac:dyDescent="0.3">
      <c r="A59" s="185" t="s">
        <v>277</v>
      </c>
      <c r="B59" s="186">
        <v>1</v>
      </c>
      <c r="C59" s="233">
        <f>SUM(D59:F59)</f>
        <v>3934.5</v>
      </c>
      <c r="D59" s="188"/>
      <c r="E59" s="233"/>
      <c r="F59" s="233">
        <v>3934.5</v>
      </c>
      <c r="G59" s="233">
        <f t="shared" si="1"/>
        <v>47214</v>
      </c>
    </row>
    <row r="60" spans="1:7" ht="12.6" customHeight="1" x14ac:dyDescent="0.3">
      <c r="A60" s="185" t="s">
        <v>440</v>
      </c>
      <c r="B60" s="186">
        <v>1</v>
      </c>
      <c r="C60" s="233">
        <f>SUM(D60:F60)</f>
        <v>2936.14</v>
      </c>
      <c r="D60" s="188"/>
      <c r="E60" s="233"/>
      <c r="F60" s="233">
        <v>2936.14</v>
      </c>
      <c r="G60" s="233">
        <f t="shared" si="1"/>
        <v>35233.68</v>
      </c>
    </row>
    <row r="61" spans="1:7" x14ac:dyDescent="0.3">
      <c r="A61" s="185" t="s">
        <v>374</v>
      </c>
      <c r="B61" s="186">
        <v>1</v>
      </c>
      <c r="C61" s="233">
        <f t="shared" ref="C61:C108" si="2">SUM(D61:F61)</f>
        <v>2936.14</v>
      </c>
      <c r="D61" s="188"/>
      <c r="E61" s="233"/>
      <c r="F61" s="233">
        <v>2936.14</v>
      </c>
      <c r="G61" s="233">
        <f t="shared" si="1"/>
        <v>35233.68</v>
      </c>
    </row>
    <row r="62" spans="1:7" ht="28.2" customHeight="1" x14ac:dyDescent="0.3">
      <c r="A62" s="185" t="s">
        <v>280</v>
      </c>
      <c r="B62" s="186">
        <v>1</v>
      </c>
      <c r="C62" s="233">
        <f>SUM(D62:F62)</f>
        <v>2568.34</v>
      </c>
      <c r="D62" s="188"/>
      <c r="E62" s="233"/>
      <c r="F62" s="233">
        <v>2568.34</v>
      </c>
      <c r="G62" s="233">
        <f>C62*B62*12</f>
        <v>30820.080000000002</v>
      </c>
    </row>
    <row r="63" spans="1:7" ht="19.2" customHeight="1" x14ac:dyDescent="0.3">
      <c r="A63" s="185" t="s">
        <v>281</v>
      </c>
      <c r="B63" s="186">
        <v>1</v>
      </c>
      <c r="C63" s="233">
        <f>SUM(D63:F63)</f>
        <v>2356.2399999999998</v>
      </c>
      <c r="D63" s="188"/>
      <c r="E63" s="233"/>
      <c r="F63" s="233">
        <v>2356.2399999999998</v>
      </c>
      <c r="G63" s="233">
        <f t="shared" si="1"/>
        <v>28274.879999999997</v>
      </c>
    </row>
    <row r="64" spans="1:7" x14ac:dyDescent="0.3">
      <c r="A64" s="185" t="s">
        <v>282</v>
      </c>
      <c r="B64" s="186">
        <v>1</v>
      </c>
      <c r="C64" s="233">
        <f>SUM(D64:F64)</f>
        <v>2320.2399999999998</v>
      </c>
      <c r="D64" s="188"/>
      <c r="E64" s="233"/>
      <c r="F64" s="233">
        <v>2320.2399999999998</v>
      </c>
      <c r="G64" s="233">
        <f t="shared" si="1"/>
        <v>27842.879999999997</v>
      </c>
    </row>
    <row r="65" spans="1:7" ht="26.4" x14ac:dyDescent="0.3">
      <c r="A65" s="185" t="s">
        <v>375</v>
      </c>
      <c r="B65" s="186">
        <v>1</v>
      </c>
      <c r="C65" s="233">
        <f t="shared" si="2"/>
        <v>2356.2399999999998</v>
      </c>
      <c r="D65" s="188"/>
      <c r="E65" s="190"/>
      <c r="F65" s="233">
        <v>2356.2399999999998</v>
      </c>
      <c r="G65" s="233">
        <f t="shared" si="1"/>
        <v>28274.879999999997</v>
      </c>
    </row>
    <row r="66" spans="1:7" x14ac:dyDescent="0.3">
      <c r="A66" s="185" t="s">
        <v>284</v>
      </c>
      <c r="B66" s="186">
        <v>1</v>
      </c>
      <c r="C66" s="233">
        <f t="shared" si="2"/>
        <v>2928.75</v>
      </c>
      <c r="D66" s="188"/>
      <c r="E66" s="190"/>
      <c r="F66" s="233">
        <v>2928.75</v>
      </c>
      <c r="G66" s="233">
        <f t="shared" si="1"/>
        <v>35145</v>
      </c>
    </row>
    <row r="67" spans="1:7" ht="16.2" customHeight="1" x14ac:dyDescent="0.3">
      <c r="A67" s="185" t="s">
        <v>376</v>
      </c>
      <c r="B67" s="186">
        <v>1</v>
      </c>
      <c r="C67" s="233">
        <f t="shared" si="2"/>
        <v>2645.12</v>
      </c>
      <c r="D67" s="188"/>
      <c r="E67" s="233"/>
      <c r="F67" s="233">
        <v>2645.12</v>
      </c>
      <c r="G67" s="233">
        <f t="shared" si="1"/>
        <v>31741.439999999999</v>
      </c>
    </row>
    <row r="68" spans="1:7" x14ac:dyDescent="0.3">
      <c r="A68" s="185" t="s">
        <v>286</v>
      </c>
      <c r="B68" s="186">
        <v>1</v>
      </c>
      <c r="C68" s="233">
        <f t="shared" si="2"/>
        <v>3543.02</v>
      </c>
      <c r="D68" s="188"/>
      <c r="E68" s="190"/>
      <c r="F68" s="233">
        <v>3543.02</v>
      </c>
      <c r="G68" s="233">
        <f t="shared" si="1"/>
        <v>42516.24</v>
      </c>
    </row>
    <row r="69" spans="1:7" ht="26.4" customHeight="1" x14ac:dyDescent="0.3">
      <c r="A69" s="185" t="s">
        <v>377</v>
      </c>
      <c r="B69" s="186">
        <v>1</v>
      </c>
      <c r="C69" s="233">
        <f t="shared" si="2"/>
        <v>2067.98</v>
      </c>
      <c r="D69" s="188"/>
      <c r="E69" s="190"/>
      <c r="F69" s="233">
        <v>2067.98</v>
      </c>
      <c r="G69" s="233">
        <f t="shared" si="1"/>
        <v>24815.760000000002</v>
      </c>
    </row>
    <row r="70" spans="1:7" ht="28.5" customHeight="1" x14ac:dyDescent="0.3">
      <c r="A70" s="185" t="s">
        <v>378</v>
      </c>
      <c r="B70" s="186">
        <v>1</v>
      </c>
      <c r="C70" s="233">
        <f t="shared" si="2"/>
        <v>2067.98</v>
      </c>
      <c r="D70" s="188"/>
      <c r="E70" s="190"/>
      <c r="F70" s="233">
        <v>2067.98</v>
      </c>
      <c r="G70" s="233">
        <f t="shared" si="1"/>
        <v>24815.760000000002</v>
      </c>
    </row>
    <row r="71" spans="1:7" x14ac:dyDescent="0.3">
      <c r="A71" s="185" t="s">
        <v>284</v>
      </c>
      <c r="B71" s="186">
        <v>1</v>
      </c>
      <c r="C71" s="233">
        <f t="shared" si="2"/>
        <v>2067.98</v>
      </c>
      <c r="D71" s="188"/>
      <c r="E71" s="190"/>
      <c r="F71" s="233">
        <v>2067.98</v>
      </c>
      <c r="G71" s="233">
        <f t="shared" si="1"/>
        <v>24815.760000000002</v>
      </c>
    </row>
    <row r="72" spans="1:7" ht="16.2" customHeight="1" x14ac:dyDescent="0.3">
      <c r="A72" s="185" t="s">
        <v>290</v>
      </c>
      <c r="B72" s="186">
        <v>1</v>
      </c>
      <c r="C72" s="233">
        <f t="shared" si="2"/>
        <v>2015.87</v>
      </c>
      <c r="D72" s="188"/>
      <c r="E72" s="233"/>
      <c r="F72" s="233">
        <v>2015.87</v>
      </c>
      <c r="G72" s="233">
        <f t="shared" si="1"/>
        <v>24190.44</v>
      </c>
    </row>
    <row r="73" spans="1:7" x14ac:dyDescent="0.3">
      <c r="A73" s="185" t="s">
        <v>291</v>
      </c>
      <c r="B73" s="186">
        <v>1</v>
      </c>
      <c r="C73" s="233">
        <f t="shared" si="2"/>
        <v>2015.87</v>
      </c>
      <c r="D73" s="188"/>
      <c r="E73" s="233"/>
      <c r="F73" s="233">
        <v>2015.87</v>
      </c>
      <c r="G73" s="233">
        <f t="shared" si="1"/>
        <v>24190.44</v>
      </c>
    </row>
    <row r="74" spans="1:7" ht="26.4" x14ac:dyDescent="0.3">
      <c r="A74" s="185" t="s">
        <v>292</v>
      </c>
      <c r="B74" s="186">
        <v>1</v>
      </c>
      <c r="C74" s="233">
        <f t="shared" si="2"/>
        <v>5274.12</v>
      </c>
      <c r="D74" s="188"/>
      <c r="E74" s="233"/>
      <c r="F74" s="233">
        <v>5274.12</v>
      </c>
      <c r="G74" s="233">
        <f t="shared" si="1"/>
        <v>63289.440000000002</v>
      </c>
    </row>
    <row r="75" spans="1:7" x14ac:dyDescent="0.3">
      <c r="A75" s="185" t="s">
        <v>293</v>
      </c>
      <c r="B75" s="186">
        <v>1</v>
      </c>
      <c r="C75" s="233">
        <f t="shared" si="2"/>
        <v>5035.6899999999996</v>
      </c>
      <c r="D75" s="188"/>
      <c r="E75" s="233"/>
      <c r="F75" s="233">
        <v>5035.6899999999996</v>
      </c>
      <c r="G75" s="233">
        <f t="shared" si="1"/>
        <v>60428.28</v>
      </c>
    </row>
    <row r="76" spans="1:7" x14ac:dyDescent="0.3">
      <c r="A76" s="185" t="s">
        <v>294</v>
      </c>
      <c r="B76" s="186">
        <v>1</v>
      </c>
      <c r="C76" s="233">
        <f t="shared" si="2"/>
        <v>5035.6899999999996</v>
      </c>
      <c r="D76" s="188"/>
      <c r="E76" s="233"/>
      <c r="F76" s="233">
        <v>5035.6899999999996</v>
      </c>
      <c r="G76" s="233">
        <f t="shared" si="1"/>
        <v>60428.28</v>
      </c>
    </row>
    <row r="77" spans="1:7" ht="16.2" customHeight="1" x14ac:dyDescent="0.3">
      <c r="A77" s="185" t="s">
        <v>295</v>
      </c>
      <c r="B77" s="186">
        <v>1</v>
      </c>
      <c r="C77" s="233">
        <f t="shared" si="2"/>
        <v>5035.6899999999996</v>
      </c>
      <c r="D77" s="188"/>
      <c r="E77" s="233"/>
      <c r="F77" s="233">
        <v>5035.6899999999996</v>
      </c>
      <c r="G77" s="233">
        <f t="shared" si="1"/>
        <v>60428.28</v>
      </c>
    </row>
    <row r="78" spans="1:7" x14ac:dyDescent="0.3">
      <c r="A78" s="185" t="s">
        <v>296</v>
      </c>
      <c r="B78" s="186">
        <v>1</v>
      </c>
      <c r="C78" s="233">
        <f t="shared" si="2"/>
        <v>5035.6899999999996</v>
      </c>
      <c r="D78" s="188"/>
      <c r="E78" s="233"/>
      <c r="F78" s="233">
        <v>5035.6899999999996</v>
      </c>
      <c r="G78" s="233">
        <f t="shared" si="1"/>
        <v>60428.28</v>
      </c>
    </row>
    <row r="79" spans="1:7" ht="26.4" x14ac:dyDescent="0.3">
      <c r="A79" s="185" t="s">
        <v>297</v>
      </c>
      <c r="B79" s="186">
        <v>1</v>
      </c>
      <c r="C79" s="233">
        <f t="shared" si="2"/>
        <v>4035.69</v>
      </c>
      <c r="D79" s="188"/>
      <c r="E79" s="233"/>
      <c r="F79" s="233">
        <v>4035.69</v>
      </c>
      <c r="G79" s="233">
        <f t="shared" si="1"/>
        <v>48428.28</v>
      </c>
    </row>
    <row r="80" spans="1:7" ht="26.4" x14ac:dyDescent="0.3">
      <c r="A80" s="185" t="s">
        <v>298</v>
      </c>
      <c r="B80" s="186">
        <v>1</v>
      </c>
      <c r="C80" s="233">
        <f t="shared" si="2"/>
        <v>4050.81</v>
      </c>
      <c r="D80" s="188"/>
      <c r="E80" s="233"/>
      <c r="F80" s="233">
        <v>4050.81</v>
      </c>
      <c r="G80" s="233">
        <f t="shared" si="1"/>
        <v>48609.72</v>
      </c>
    </row>
    <row r="81" spans="1:7" ht="26.4" x14ac:dyDescent="0.3">
      <c r="A81" s="185" t="s">
        <v>299</v>
      </c>
      <c r="B81" s="186">
        <v>1</v>
      </c>
      <c r="C81" s="233">
        <f t="shared" si="2"/>
        <v>4050.81</v>
      </c>
      <c r="D81" s="188"/>
      <c r="E81" s="233"/>
      <c r="F81" s="233">
        <v>4050.81</v>
      </c>
      <c r="G81" s="233">
        <f t="shared" si="1"/>
        <v>48609.72</v>
      </c>
    </row>
    <row r="82" spans="1:7" ht="19.5" customHeight="1" x14ac:dyDescent="0.3">
      <c r="A82" s="185" t="s">
        <v>300</v>
      </c>
      <c r="B82" s="186">
        <v>4</v>
      </c>
      <c r="C82" s="233">
        <f t="shared" si="2"/>
        <v>2725.39</v>
      </c>
      <c r="D82" s="188"/>
      <c r="E82" s="233"/>
      <c r="F82" s="233">
        <v>2725.39</v>
      </c>
      <c r="G82" s="233">
        <f t="shared" si="1"/>
        <v>130818.72</v>
      </c>
    </row>
    <row r="83" spans="1:7" ht="39.6" x14ac:dyDescent="0.3">
      <c r="A83" s="185" t="s">
        <v>301</v>
      </c>
      <c r="B83" s="186">
        <v>1</v>
      </c>
      <c r="C83" s="233">
        <f t="shared" si="2"/>
        <v>2556.4499999999998</v>
      </c>
      <c r="D83" s="188"/>
      <c r="E83" s="233"/>
      <c r="F83" s="233">
        <v>2556.4499999999998</v>
      </c>
      <c r="G83" s="233">
        <f t="shared" si="1"/>
        <v>30677.399999999998</v>
      </c>
    </row>
    <row r="84" spans="1:7" ht="26.4" x14ac:dyDescent="0.3">
      <c r="A84" s="185" t="s">
        <v>302</v>
      </c>
      <c r="B84" s="186">
        <v>1</v>
      </c>
      <c r="C84" s="233">
        <f t="shared" si="2"/>
        <v>2598.41</v>
      </c>
      <c r="D84" s="188"/>
      <c r="E84" s="233"/>
      <c r="F84" s="233">
        <v>2598.41</v>
      </c>
      <c r="G84" s="233">
        <f t="shared" si="1"/>
        <v>31180.92</v>
      </c>
    </row>
    <row r="85" spans="1:7" ht="18" customHeight="1" x14ac:dyDescent="0.3">
      <c r="A85" s="185" t="s">
        <v>303</v>
      </c>
      <c r="B85" s="186">
        <v>2.5</v>
      </c>
      <c r="C85" s="233">
        <f t="shared" si="2"/>
        <v>1923.14</v>
      </c>
      <c r="D85" s="188"/>
      <c r="E85" s="233"/>
      <c r="F85" s="233">
        <v>1923.14</v>
      </c>
      <c r="G85" s="233">
        <f t="shared" si="1"/>
        <v>57694.200000000004</v>
      </c>
    </row>
    <row r="86" spans="1:7" x14ac:dyDescent="0.3">
      <c r="A86" s="185" t="s">
        <v>304</v>
      </c>
      <c r="B86" s="186">
        <v>0.5</v>
      </c>
      <c r="C86" s="233">
        <f t="shared" si="2"/>
        <v>1923.14</v>
      </c>
      <c r="D86" s="188"/>
      <c r="E86" s="233"/>
      <c r="F86" s="233">
        <v>1923.14</v>
      </c>
      <c r="G86" s="233">
        <f t="shared" si="1"/>
        <v>11538.84</v>
      </c>
    </row>
    <row r="87" spans="1:7" x14ac:dyDescent="0.3">
      <c r="A87" s="185" t="s">
        <v>305</v>
      </c>
      <c r="B87" s="186">
        <v>0.5</v>
      </c>
      <c r="C87" s="233">
        <f t="shared" si="2"/>
        <v>1923.14</v>
      </c>
      <c r="D87" s="188"/>
      <c r="E87" s="233"/>
      <c r="F87" s="233">
        <v>1923.14</v>
      </c>
      <c r="G87" s="233">
        <f t="shared" si="1"/>
        <v>11538.84</v>
      </c>
    </row>
    <row r="88" spans="1:7" x14ac:dyDescent="0.3">
      <c r="A88" s="185" t="s">
        <v>306</v>
      </c>
      <c r="B88" s="186">
        <v>0.5</v>
      </c>
      <c r="C88" s="233">
        <f t="shared" si="2"/>
        <v>1923.14</v>
      </c>
      <c r="D88" s="188"/>
      <c r="E88" s="233"/>
      <c r="F88" s="233">
        <v>1923.14</v>
      </c>
      <c r="G88" s="233">
        <f t="shared" si="1"/>
        <v>11538.84</v>
      </c>
    </row>
    <row r="89" spans="1:7" ht="19.95" customHeight="1" x14ac:dyDescent="0.3">
      <c r="A89" s="185" t="s">
        <v>379</v>
      </c>
      <c r="B89" s="186">
        <v>1</v>
      </c>
      <c r="C89" s="233">
        <f>SUM(D89:F89)</f>
        <v>1767.31</v>
      </c>
      <c r="D89" s="188"/>
      <c r="E89" s="233"/>
      <c r="F89" s="233">
        <v>1767.31</v>
      </c>
      <c r="G89" s="233">
        <f t="shared" si="1"/>
        <v>21207.72</v>
      </c>
    </row>
    <row r="90" spans="1:7" x14ac:dyDescent="0.3">
      <c r="A90" s="185" t="s">
        <v>308</v>
      </c>
      <c r="B90" s="186">
        <v>1</v>
      </c>
      <c r="C90" s="233">
        <f>SUM(D90:F90)</f>
        <v>1767.31</v>
      </c>
      <c r="D90" s="188"/>
      <c r="E90" s="233"/>
      <c r="F90" s="233">
        <v>1767.31</v>
      </c>
      <c r="G90" s="233">
        <f t="shared" si="1"/>
        <v>21207.72</v>
      </c>
    </row>
    <row r="91" spans="1:7" x14ac:dyDescent="0.3">
      <c r="A91" s="196" t="s">
        <v>382</v>
      </c>
      <c r="B91" s="197">
        <v>1</v>
      </c>
      <c r="C91" s="198">
        <f t="shared" ref="C91" si="3">SUM(D91:F91)</f>
        <v>1767.31</v>
      </c>
      <c r="D91" s="198"/>
      <c r="E91" s="233"/>
      <c r="F91" s="233">
        <v>1767.31</v>
      </c>
      <c r="G91" s="233">
        <f t="shared" ref="G91" si="4">C91*B91*4</f>
        <v>7069.24</v>
      </c>
    </row>
    <row r="92" spans="1:7" x14ac:dyDescent="0.3">
      <c r="A92" s="185" t="s">
        <v>448</v>
      </c>
      <c r="B92" s="186">
        <v>1</v>
      </c>
      <c r="C92" s="233">
        <f t="shared" si="2"/>
        <v>1785.16</v>
      </c>
      <c r="D92" s="188"/>
      <c r="E92" s="233"/>
      <c r="F92" s="233">
        <v>1785.16</v>
      </c>
      <c r="G92" s="233">
        <f t="shared" si="1"/>
        <v>21421.920000000002</v>
      </c>
    </row>
    <row r="93" spans="1:7" ht="40.950000000000003" customHeight="1" x14ac:dyDescent="0.3">
      <c r="A93" s="185" t="s">
        <v>309</v>
      </c>
      <c r="B93" s="186">
        <v>12</v>
      </c>
      <c r="C93" s="233">
        <f t="shared" si="2"/>
        <v>9506.17</v>
      </c>
      <c r="D93" s="188"/>
      <c r="E93" s="233"/>
      <c r="F93" s="233">
        <v>9506.17</v>
      </c>
      <c r="G93" s="233">
        <f t="shared" si="1"/>
        <v>1368888.48</v>
      </c>
    </row>
    <row r="94" spans="1:7" ht="39.6" x14ac:dyDescent="0.3">
      <c r="A94" s="185" t="s">
        <v>310</v>
      </c>
      <c r="B94" s="186">
        <v>13</v>
      </c>
      <c r="C94" s="233">
        <f t="shared" si="2"/>
        <v>9954.2900000000009</v>
      </c>
      <c r="D94" s="188"/>
      <c r="E94" s="233"/>
      <c r="F94" s="233">
        <v>9954.2900000000009</v>
      </c>
      <c r="G94" s="233">
        <f t="shared" si="1"/>
        <v>1552869.2400000002</v>
      </c>
    </row>
    <row r="95" spans="1:7" ht="27" customHeight="1" x14ac:dyDescent="0.3">
      <c r="A95" s="185" t="s">
        <v>311</v>
      </c>
      <c r="B95" s="186">
        <v>4</v>
      </c>
      <c r="C95" s="233">
        <f t="shared" si="2"/>
        <v>8879.4500000000007</v>
      </c>
      <c r="D95" s="188"/>
      <c r="E95" s="233"/>
      <c r="F95" s="233">
        <v>8879.4500000000007</v>
      </c>
      <c r="G95" s="233">
        <f t="shared" si="1"/>
        <v>426213.60000000003</v>
      </c>
    </row>
    <row r="96" spans="1:7" ht="30" customHeight="1" x14ac:dyDescent="0.3">
      <c r="A96" s="185" t="s">
        <v>312</v>
      </c>
      <c r="B96" s="186">
        <v>9</v>
      </c>
      <c r="C96" s="233">
        <f t="shared" si="2"/>
        <v>4288.25</v>
      </c>
      <c r="D96" s="188"/>
      <c r="E96" s="233"/>
      <c r="F96" s="233">
        <v>4288.25</v>
      </c>
      <c r="G96" s="233">
        <f t="shared" si="1"/>
        <v>463131</v>
      </c>
    </row>
    <row r="97" spans="1:7" ht="15.6" customHeight="1" x14ac:dyDescent="0.3">
      <c r="A97" s="189" t="s">
        <v>313</v>
      </c>
      <c r="B97" s="186">
        <v>12</v>
      </c>
      <c r="C97" s="233">
        <f t="shared" si="2"/>
        <v>3548.52</v>
      </c>
      <c r="D97" s="188"/>
      <c r="E97" s="233"/>
      <c r="F97" s="233">
        <v>3548.52</v>
      </c>
      <c r="G97" s="233">
        <f t="shared" si="1"/>
        <v>510986.88</v>
      </c>
    </row>
    <row r="98" spans="1:7" ht="26.4" x14ac:dyDescent="0.3">
      <c r="A98" s="185" t="s">
        <v>314</v>
      </c>
      <c r="B98" s="186">
        <v>4</v>
      </c>
      <c r="C98" s="233">
        <f t="shared" si="2"/>
        <v>5573.98</v>
      </c>
      <c r="D98" s="188"/>
      <c r="E98" s="233"/>
      <c r="F98" s="233">
        <v>5573.98</v>
      </c>
      <c r="G98" s="233">
        <f t="shared" si="1"/>
        <v>267551.03999999998</v>
      </c>
    </row>
    <row r="99" spans="1:7" ht="26.4" x14ac:dyDescent="0.3">
      <c r="A99" s="185" t="s">
        <v>315</v>
      </c>
      <c r="B99" s="186">
        <v>7</v>
      </c>
      <c r="C99" s="233">
        <f t="shared" si="2"/>
        <v>4775.12</v>
      </c>
      <c r="D99" s="188"/>
      <c r="E99" s="233"/>
      <c r="F99" s="233">
        <v>4775.12</v>
      </c>
      <c r="G99" s="233">
        <f t="shared" si="1"/>
        <v>401110.07999999996</v>
      </c>
    </row>
    <row r="100" spans="1:7" x14ac:dyDescent="0.3">
      <c r="A100" s="185" t="s">
        <v>316</v>
      </c>
      <c r="B100" s="186">
        <v>8</v>
      </c>
      <c r="C100" s="233">
        <f t="shared" si="2"/>
        <v>3938.52</v>
      </c>
      <c r="D100" s="188"/>
      <c r="E100" s="233"/>
      <c r="F100" s="233">
        <v>3938.52</v>
      </c>
      <c r="G100" s="233">
        <f t="shared" si="1"/>
        <v>378097.91999999998</v>
      </c>
    </row>
    <row r="101" spans="1:7" ht="29.4" customHeight="1" x14ac:dyDescent="0.3">
      <c r="A101" s="185" t="s">
        <v>317</v>
      </c>
      <c r="B101" s="186">
        <v>16</v>
      </c>
      <c r="C101" s="233">
        <f t="shared" si="2"/>
        <v>2954.43</v>
      </c>
      <c r="D101" s="188"/>
      <c r="E101" s="233"/>
      <c r="F101" s="233">
        <v>2954.43</v>
      </c>
      <c r="G101" s="233">
        <f t="shared" si="1"/>
        <v>567250.55999999994</v>
      </c>
    </row>
    <row r="102" spans="1:7" ht="26.4" x14ac:dyDescent="0.3">
      <c r="A102" s="185" t="s">
        <v>318</v>
      </c>
      <c r="B102" s="186">
        <v>7</v>
      </c>
      <c r="C102" s="233">
        <f t="shared" si="2"/>
        <v>2725.57</v>
      </c>
      <c r="D102" s="188"/>
      <c r="E102" s="233"/>
      <c r="F102" s="233">
        <v>2725.57</v>
      </c>
      <c r="G102" s="233">
        <f t="shared" si="1"/>
        <v>228947.88</v>
      </c>
    </row>
    <row r="103" spans="1:7" ht="26.4" x14ac:dyDescent="0.3">
      <c r="A103" s="185" t="s">
        <v>319</v>
      </c>
      <c r="B103" s="186">
        <v>6</v>
      </c>
      <c r="C103" s="233">
        <f t="shared" si="2"/>
        <v>2515.4299999999998</v>
      </c>
      <c r="D103" s="188"/>
      <c r="E103" s="233"/>
      <c r="F103" s="233">
        <v>2515.4299999999998</v>
      </c>
      <c r="G103" s="233">
        <f t="shared" si="1"/>
        <v>181110.95999999996</v>
      </c>
    </row>
    <row r="104" spans="1:7" ht="39.6" x14ac:dyDescent="0.3">
      <c r="A104" s="185" t="s">
        <v>320</v>
      </c>
      <c r="B104" s="186">
        <v>1</v>
      </c>
      <c r="C104" s="233">
        <f t="shared" si="2"/>
        <v>1903.54</v>
      </c>
      <c r="D104" s="188"/>
      <c r="E104" s="233"/>
      <c r="F104" s="233">
        <v>1903.54</v>
      </c>
      <c r="G104" s="233">
        <f t="shared" si="1"/>
        <v>22842.48</v>
      </c>
    </row>
    <row r="105" spans="1:7" x14ac:dyDescent="0.3">
      <c r="A105" s="189" t="s">
        <v>321</v>
      </c>
      <c r="B105" s="186">
        <v>1</v>
      </c>
      <c r="C105" s="233">
        <f t="shared" si="2"/>
        <v>1865.98</v>
      </c>
      <c r="D105" s="188"/>
      <c r="E105" s="233"/>
      <c r="F105" s="233">
        <v>1865.98</v>
      </c>
      <c r="G105" s="233">
        <f t="shared" si="1"/>
        <v>22391.760000000002</v>
      </c>
    </row>
    <row r="106" spans="1:7" x14ac:dyDescent="0.3">
      <c r="A106" s="189" t="s">
        <v>322</v>
      </c>
      <c r="B106" s="186">
        <v>2</v>
      </c>
      <c r="C106" s="233">
        <f t="shared" si="2"/>
        <v>1756.21</v>
      </c>
      <c r="D106" s="188"/>
      <c r="E106" s="233"/>
      <c r="F106" s="233">
        <v>1756.21</v>
      </c>
      <c r="G106" s="233">
        <f t="shared" si="1"/>
        <v>42149.04</v>
      </c>
    </row>
    <row r="107" spans="1:7" ht="20.25" customHeight="1" x14ac:dyDescent="0.3">
      <c r="A107" s="189" t="s">
        <v>323</v>
      </c>
      <c r="B107" s="186">
        <v>1</v>
      </c>
      <c r="C107" s="233">
        <f t="shared" si="2"/>
        <v>1738.54</v>
      </c>
      <c r="D107" s="188"/>
      <c r="E107" s="233"/>
      <c r="F107" s="233">
        <v>1738.54</v>
      </c>
      <c r="G107" s="233">
        <f t="shared" si="1"/>
        <v>20862.48</v>
      </c>
    </row>
    <row r="108" spans="1:7" ht="26.4" x14ac:dyDescent="0.3">
      <c r="A108" s="185" t="s">
        <v>324</v>
      </c>
      <c r="B108" s="186">
        <v>1</v>
      </c>
      <c r="C108" s="233">
        <f t="shared" si="2"/>
        <v>1326.97</v>
      </c>
      <c r="D108" s="188"/>
      <c r="E108" s="233"/>
      <c r="F108" s="233">
        <v>1326.97</v>
      </c>
      <c r="G108" s="233">
        <f t="shared" si="1"/>
        <v>15923.64</v>
      </c>
    </row>
    <row r="109" spans="1:7" x14ac:dyDescent="0.3">
      <c r="A109" s="189" t="s">
        <v>325</v>
      </c>
      <c r="B109" s="186">
        <v>2</v>
      </c>
      <c r="C109" s="233">
        <f t="shared" ref="C109:C119" si="5">SUM(D109:F109)</f>
        <v>1802.45</v>
      </c>
      <c r="D109" s="188"/>
      <c r="E109" s="233"/>
      <c r="F109" s="233">
        <v>1802.45</v>
      </c>
      <c r="G109" s="233">
        <f t="shared" si="1"/>
        <v>43258.8</v>
      </c>
    </row>
    <row r="110" spans="1:7" x14ac:dyDescent="0.3">
      <c r="A110" s="189" t="s">
        <v>327</v>
      </c>
      <c r="B110" s="186">
        <v>1</v>
      </c>
      <c r="C110" s="233">
        <f t="shared" si="5"/>
        <v>1859.87</v>
      </c>
      <c r="D110" s="188"/>
      <c r="E110" s="233"/>
      <c r="F110" s="233">
        <v>1859.87</v>
      </c>
      <c r="G110" s="233">
        <f t="shared" si="1"/>
        <v>22318.44</v>
      </c>
    </row>
    <row r="111" spans="1:7" ht="18.75" customHeight="1" x14ac:dyDescent="0.3">
      <c r="A111" s="189" t="s">
        <v>328</v>
      </c>
      <c r="B111" s="186">
        <v>4</v>
      </c>
      <c r="C111" s="233">
        <f t="shared" si="5"/>
        <v>1839.36</v>
      </c>
      <c r="D111" s="188"/>
      <c r="E111" s="233"/>
      <c r="F111" s="233">
        <v>1839.36</v>
      </c>
      <c r="G111" s="233">
        <f t="shared" si="1"/>
        <v>88289.279999999999</v>
      </c>
    </row>
    <row r="112" spans="1:7" ht="26.4" x14ac:dyDescent="0.3">
      <c r="A112" s="185" t="s">
        <v>329</v>
      </c>
      <c r="B112" s="186">
        <v>1</v>
      </c>
      <c r="C112" s="233">
        <f t="shared" si="5"/>
        <v>1873.54</v>
      </c>
      <c r="D112" s="188"/>
      <c r="E112" s="233"/>
      <c r="F112" s="233">
        <v>1873.54</v>
      </c>
      <c r="G112" s="233">
        <f t="shared" si="1"/>
        <v>22482.48</v>
      </c>
    </row>
    <row r="113" spans="1:7" x14ac:dyDescent="0.3">
      <c r="A113" s="189" t="s">
        <v>330</v>
      </c>
      <c r="B113" s="186">
        <v>2.5</v>
      </c>
      <c r="C113" s="233">
        <f t="shared" si="5"/>
        <v>1720.36</v>
      </c>
      <c r="D113" s="188"/>
      <c r="E113" s="233"/>
      <c r="F113" s="233">
        <v>1720.36</v>
      </c>
      <c r="G113" s="233">
        <f t="shared" si="1"/>
        <v>51610.799999999996</v>
      </c>
    </row>
    <row r="114" spans="1:7" ht="26.4" x14ac:dyDescent="0.3">
      <c r="A114" s="185" t="s">
        <v>331</v>
      </c>
      <c r="B114" s="186">
        <v>1</v>
      </c>
      <c r="C114" s="233">
        <f t="shared" si="5"/>
        <v>1873.54</v>
      </c>
      <c r="D114" s="188"/>
      <c r="E114" s="233"/>
      <c r="F114" s="233">
        <v>1873.54</v>
      </c>
      <c r="G114" s="233">
        <f t="shared" si="1"/>
        <v>22482.48</v>
      </c>
    </row>
    <row r="115" spans="1:7" x14ac:dyDescent="0.3">
      <c r="A115" s="185" t="s">
        <v>332</v>
      </c>
      <c r="B115" s="186">
        <v>1</v>
      </c>
      <c r="C115" s="233">
        <f t="shared" si="5"/>
        <v>1773.54</v>
      </c>
      <c r="D115" s="188"/>
      <c r="E115" s="233"/>
      <c r="F115" s="233">
        <v>1773.54</v>
      </c>
      <c r="G115" s="233">
        <f t="shared" si="1"/>
        <v>21282.48</v>
      </c>
    </row>
    <row r="116" spans="1:7" x14ac:dyDescent="0.3">
      <c r="A116" s="189" t="s">
        <v>333</v>
      </c>
      <c r="B116" s="186">
        <v>2</v>
      </c>
      <c r="C116" s="233">
        <f t="shared" si="5"/>
        <v>1670.36</v>
      </c>
      <c r="D116" s="188"/>
      <c r="E116" s="233"/>
      <c r="F116" s="233">
        <v>1670.36</v>
      </c>
      <c r="G116" s="233">
        <f t="shared" si="1"/>
        <v>40088.639999999999</v>
      </c>
    </row>
    <row r="117" spans="1:7" x14ac:dyDescent="0.3">
      <c r="A117" s="189" t="s">
        <v>334</v>
      </c>
      <c r="B117" s="186">
        <v>2</v>
      </c>
      <c r="C117" s="233">
        <f t="shared" si="5"/>
        <v>1659.36</v>
      </c>
      <c r="D117" s="188"/>
      <c r="E117" s="233"/>
      <c r="F117" s="233">
        <v>1659.36</v>
      </c>
      <c r="G117" s="233">
        <f t="shared" si="1"/>
        <v>39824.639999999999</v>
      </c>
    </row>
    <row r="118" spans="1:7" x14ac:dyDescent="0.3">
      <c r="A118" s="189" t="s">
        <v>335</v>
      </c>
      <c r="B118" s="186">
        <v>2</v>
      </c>
      <c r="C118" s="233">
        <f t="shared" si="5"/>
        <v>1623.04</v>
      </c>
      <c r="D118" s="188"/>
      <c r="E118" s="233"/>
      <c r="F118" s="233">
        <v>1623.04</v>
      </c>
      <c r="G118" s="233">
        <f>C118*1*12</f>
        <v>19476.48</v>
      </c>
    </row>
    <row r="119" spans="1:7" x14ac:dyDescent="0.3">
      <c r="A119" s="189" t="s">
        <v>449</v>
      </c>
      <c r="B119" s="186">
        <v>1</v>
      </c>
      <c r="C119" s="233">
        <f t="shared" si="5"/>
        <v>1623.04</v>
      </c>
      <c r="D119" s="188"/>
      <c r="E119" s="233"/>
      <c r="F119" s="233">
        <v>1623.04</v>
      </c>
      <c r="G119" s="233">
        <f t="shared" si="1"/>
        <v>19476.48</v>
      </c>
    </row>
    <row r="120" spans="1:7" ht="39.6" x14ac:dyDescent="0.3">
      <c r="A120" s="185" t="s">
        <v>336</v>
      </c>
      <c r="B120" s="186">
        <v>1</v>
      </c>
      <c r="C120" s="233">
        <f>SUM(D120:F120)</f>
        <v>1893.54</v>
      </c>
      <c r="D120" s="188"/>
      <c r="E120" s="233"/>
      <c r="F120" s="233">
        <v>1893.54</v>
      </c>
      <c r="G120" s="233">
        <f>C120*B120*12</f>
        <v>22722.48</v>
      </c>
    </row>
    <row r="121" spans="1:7" ht="17.25" customHeight="1" x14ac:dyDescent="0.3">
      <c r="A121" s="189" t="s">
        <v>337</v>
      </c>
      <c r="B121" s="186">
        <v>2</v>
      </c>
      <c r="C121" s="233">
        <f>SUM(D121:F121)</f>
        <v>1828.12</v>
      </c>
      <c r="D121" s="188"/>
      <c r="E121" s="233"/>
      <c r="F121" s="233">
        <v>1828.12</v>
      </c>
      <c r="G121" s="233">
        <f>C121*B121*12</f>
        <v>43874.879999999997</v>
      </c>
    </row>
    <row r="122" spans="1:7" x14ac:dyDescent="0.3">
      <c r="A122" s="185" t="s">
        <v>338</v>
      </c>
      <c r="B122" s="186">
        <v>4</v>
      </c>
      <c r="C122" s="233">
        <f>SUM(D122:F122)</f>
        <v>1510.65</v>
      </c>
      <c r="D122" s="188"/>
      <c r="E122" s="233"/>
      <c r="F122" s="233">
        <v>1510.65</v>
      </c>
      <c r="G122" s="233">
        <f>C122*B122*12</f>
        <v>72511.200000000012</v>
      </c>
    </row>
    <row r="123" spans="1:7" x14ac:dyDescent="0.3">
      <c r="A123" s="189" t="s">
        <v>339</v>
      </c>
      <c r="B123" s="186">
        <v>1</v>
      </c>
      <c r="C123" s="233">
        <f>SUM(D123:F123)</f>
        <v>1566.21</v>
      </c>
      <c r="D123" s="188"/>
      <c r="E123" s="233"/>
      <c r="F123" s="233">
        <v>1566.21</v>
      </c>
      <c r="G123" s="233">
        <f>C123*B123*12</f>
        <v>18794.52</v>
      </c>
    </row>
    <row r="124" spans="1:7" x14ac:dyDescent="0.3">
      <c r="A124" s="189" t="s">
        <v>340</v>
      </c>
      <c r="B124" s="186">
        <v>0.5</v>
      </c>
      <c r="C124" s="233">
        <f>SUM(D124:F124)</f>
        <v>1566.21</v>
      </c>
      <c r="D124" s="188"/>
      <c r="E124" s="233"/>
      <c r="F124" s="233">
        <v>1566.21</v>
      </c>
      <c r="G124" s="233">
        <f>C124*B124*12</f>
        <v>9397.26</v>
      </c>
    </row>
    <row r="125" spans="1:7" ht="40.950000000000003" customHeight="1" x14ac:dyDescent="0.3">
      <c r="A125" s="185" t="s">
        <v>341</v>
      </c>
      <c r="B125" s="186">
        <v>1</v>
      </c>
      <c r="C125" s="233">
        <f t="shared" ref="C125:C143" si="6">SUM(D125:F125)</f>
        <v>1903.54</v>
      </c>
      <c r="D125" s="188"/>
      <c r="E125" s="233"/>
      <c r="F125" s="233">
        <v>1903.54</v>
      </c>
      <c r="G125" s="233">
        <f t="shared" ref="G125:G143" si="7">C125*B125*12</f>
        <v>22842.48</v>
      </c>
    </row>
    <row r="126" spans="1:7" x14ac:dyDescent="0.3">
      <c r="A126" s="189" t="s">
        <v>342</v>
      </c>
      <c r="B126" s="186">
        <v>4</v>
      </c>
      <c r="C126" s="233">
        <f t="shared" si="6"/>
        <v>1896.21</v>
      </c>
      <c r="D126" s="188"/>
      <c r="E126" s="233"/>
      <c r="F126" s="233">
        <v>1896.21</v>
      </c>
      <c r="G126" s="233">
        <f t="shared" si="7"/>
        <v>91018.08</v>
      </c>
    </row>
    <row r="127" spans="1:7" x14ac:dyDescent="0.3">
      <c r="A127" s="189" t="s">
        <v>343</v>
      </c>
      <c r="B127" s="186">
        <v>2</v>
      </c>
      <c r="C127" s="233">
        <f t="shared" si="6"/>
        <v>1856.32</v>
      </c>
      <c r="D127" s="188"/>
      <c r="E127" s="233"/>
      <c r="F127" s="233">
        <v>1856.32</v>
      </c>
      <c r="G127" s="233">
        <f t="shared" si="7"/>
        <v>44551.68</v>
      </c>
    </row>
    <row r="128" spans="1:7" x14ac:dyDescent="0.3">
      <c r="A128" s="189" t="s">
        <v>344</v>
      </c>
      <c r="B128" s="186">
        <v>1.5</v>
      </c>
      <c r="C128" s="233">
        <f t="shared" si="6"/>
        <v>1734.98</v>
      </c>
      <c r="D128" s="188"/>
      <c r="E128" s="233"/>
      <c r="F128" s="233">
        <v>1734.98</v>
      </c>
      <c r="G128" s="233">
        <f t="shared" si="7"/>
        <v>31229.640000000003</v>
      </c>
    </row>
    <row r="129" spans="1:8" ht="26.4" x14ac:dyDescent="0.3">
      <c r="A129" s="185" t="s">
        <v>345</v>
      </c>
      <c r="B129" s="186">
        <v>1</v>
      </c>
      <c r="C129" s="233">
        <f t="shared" si="6"/>
        <v>1775.68</v>
      </c>
      <c r="D129" s="188"/>
      <c r="E129" s="233"/>
      <c r="F129" s="233">
        <f>1775.68</f>
        <v>1775.68</v>
      </c>
      <c r="G129" s="233">
        <f t="shared" si="7"/>
        <v>21308.16</v>
      </c>
    </row>
    <row r="130" spans="1:8" ht="14.25" customHeight="1" x14ac:dyDescent="0.3">
      <c r="A130" s="189" t="s">
        <v>346</v>
      </c>
      <c r="B130" s="186">
        <v>1</v>
      </c>
      <c r="C130" s="233">
        <f t="shared" si="6"/>
        <v>1693.54</v>
      </c>
      <c r="D130" s="188"/>
      <c r="E130" s="233"/>
      <c r="F130" s="233">
        <v>1693.54</v>
      </c>
      <c r="G130" s="233">
        <f t="shared" si="7"/>
        <v>20322.48</v>
      </c>
    </row>
    <row r="131" spans="1:8" x14ac:dyDescent="0.3">
      <c r="A131" s="189" t="s">
        <v>347</v>
      </c>
      <c r="B131" s="186">
        <v>1</v>
      </c>
      <c r="C131" s="233">
        <f t="shared" si="6"/>
        <v>1544.75</v>
      </c>
      <c r="D131" s="188"/>
      <c r="E131" s="233"/>
      <c r="F131" s="233">
        <v>1544.75</v>
      </c>
      <c r="G131" s="233">
        <f t="shared" si="7"/>
        <v>18537</v>
      </c>
    </row>
    <row r="132" spans="1:8" x14ac:dyDescent="0.3">
      <c r="A132" s="191" t="s">
        <v>348</v>
      </c>
      <c r="B132" s="186">
        <v>1</v>
      </c>
      <c r="C132" s="233">
        <f t="shared" si="6"/>
        <v>1537.01</v>
      </c>
      <c r="D132" s="188"/>
      <c r="E132" s="233"/>
      <c r="F132" s="233">
        <v>1537.01</v>
      </c>
      <c r="G132" s="233">
        <f t="shared" si="7"/>
        <v>18444.12</v>
      </c>
    </row>
    <row r="133" spans="1:8" ht="16.95" customHeight="1" x14ac:dyDescent="0.3">
      <c r="A133" s="189" t="s">
        <v>349</v>
      </c>
      <c r="B133" s="186">
        <v>4</v>
      </c>
      <c r="C133" s="233">
        <f t="shared" si="6"/>
        <v>1529.86</v>
      </c>
      <c r="D133" s="188"/>
      <c r="E133" s="233"/>
      <c r="F133" s="233">
        <v>1529.86</v>
      </c>
      <c r="G133" s="233">
        <f t="shared" si="7"/>
        <v>73433.279999999999</v>
      </c>
    </row>
    <row r="134" spans="1:8" x14ac:dyDescent="0.3">
      <c r="A134" s="189" t="s">
        <v>350</v>
      </c>
      <c r="B134" s="186">
        <v>3</v>
      </c>
      <c r="C134" s="233">
        <f t="shared" si="6"/>
        <v>1368.89</v>
      </c>
      <c r="D134" s="188"/>
      <c r="E134" s="233"/>
      <c r="F134" s="233">
        <v>1368.89</v>
      </c>
      <c r="G134" s="233">
        <f t="shared" si="7"/>
        <v>49280.04</v>
      </c>
    </row>
    <row r="135" spans="1:8" ht="26.4" x14ac:dyDescent="0.3">
      <c r="A135" s="185" t="s">
        <v>386</v>
      </c>
      <c r="B135" s="186">
        <v>10.5</v>
      </c>
      <c r="C135" s="233">
        <f t="shared" si="6"/>
        <v>1224.6500000000001</v>
      </c>
      <c r="D135" s="188"/>
      <c r="E135" s="233"/>
      <c r="F135" s="233">
        <v>1224.6500000000001</v>
      </c>
      <c r="G135" s="233">
        <f t="shared" si="7"/>
        <v>154305.90000000002</v>
      </c>
    </row>
    <row r="136" spans="1:8" x14ac:dyDescent="0.3">
      <c r="A136" s="189" t="s">
        <v>351</v>
      </c>
      <c r="B136" s="186">
        <v>1.5</v>
      </c>
      <c r="C136" s="233">
        <f t="shared" si="6"/>
        <v>1122.58</v>
      </c>
      <c r="D136" s="188"/>
      <c r="E136" s="233"/>
      <c r="F136" s="233">
        <v>1122.58</v>
      </c>
      <c r="G136" s="233">
        <f t="shared" si="7"/>
        <v>20206.439999999999</v>
      </c>
    </row>
    <row r="137" spans="1:8" ht="26.4" x14ac:dyDescent="0.3">
      <c r="A137" s="192" t="s">
        <v>352</v>
      </c>
      <c r="B137" s="193">
        <v>1</v>
      </c>
      <c r="C137" s="233">
        <f t="shared" si="6"/>
        <v>1238.8599999999999</v>
      </c>
      <c r="D137" s="194"/>
      <c r="E137" s="233"/>
      <c r="F137" s="233">
        <v>1238.8599999999999</v>
      </c>
      <c r="G137" s="233">
        <f t="shared" si="7"/>
        <v>14866.32</v>
      </c>
    </row>
    <row r="138" spans="1:8" x14ac:dyDescent="0.3">
      <c r="A138" s="192" t="s">
        <v>353</v>
      </c>
      <c r="B138" s="193">
        <v>1</v>
      </c>
      <c r="C138" s="233">
        <f t="shared" si="6"/>
        <v>1228.8900000000001</v>
      </c>
      <c r="D138" s="194"/>
      <c r="E138" s="233"/>
      <c r="F138" s="233">
        <v>1228.8900000000001</v>
      </c>
      <c r="G138" s="233">
        <f t="shared" si="7"/>
        <v>14746.68</v>
      </c>
    </row>
    <row r="139" spans="1:8" x14ac:dyDescent="0.3">
      <c r="A139" s="192" t="s">
        <v>354</v>
      </c>
      <c r="B139" s="193">
        <v>2</v>
      </c>
      <c r="C139" s="233">
        <f t="shared" si="6"/>
        <v>1224.6500000000001</v>
      </c>
      <c r="D139" s="194"/>
      <c r="E139" s="233"/>
      <c r="F139" s="233">
        <v>1224.6500000000001</v>
      </c>
      <c r="G139" s="233">
        <f t="shared" si="7"/>
        <v>29391.600000000002</v>
      </c>
    </row>
    <row r="140" spans="1:8" ht="18" customHeight="1" x14ac:dyDescent="0.3">
      <c r="A140" s="192" t="s">
        <v>355</v>
      </c>
      <c r="B140" s="193">
        <v>1</v>
      </c>
      <c r="C140" s="233">
        <f t="shared" si="6"/>
        <v>1264.6500000000001</v>
      </c>
      <c r="D140" s="194"/>
      <c r="E140" s="233"/>
      <c r="F140" s="233">
        <v>1264.6500000000001</v>
      </c>
      <c r="G140" s="233">
        <f t="shared" si="7"/>
        <v>15175.800000000001</v>
      </c>
    </row>
    <row r="141" spans="1:8" x14ac:dyDescent="0.3">
      <c r="A141" s="189" t="s">
        <v>356</v>
      </c>
      <c r="B141" s="186">
        <v>1</v>
      </c>
      <c r="C141" s="233">
        <f t="shared" si="6"/>
        <v>1328.67</v>
      </c>
      <c r="D141" s="188"/>
      <c r="E141" s="233"/>
      <c r="F141" s="233">
        <v>1328.67</v>
      </c>
      <c r="G141" s="233">
        <f t="shared" si="7"/>
        <v>15944.04</v>
      </c>
    </row>
    <row r="142" spans="1:8" x14ac:dyDescent="0.3">
      <c r="A142" s="189" t="s">
        <v>357</v>
      </c>
      <c r="B142" s="186">
        <v>3</v>
      </c>
      <c r="C142" s="233">
        <f t="shared" si="6"/>
        <v>1326.47</v>
      </c>
      <c r="D142" s="188"/>
      <c r="E142" s="233"/>
      <c r="F142" s="233">
        <v>1326.47</v>
      </c>
      <c r="G142" s="233">
        <f t="shared" si="7"/>
        <v>47752.92</v>
      </c>
      <c r="H142" s="44"/>
    </row>
    <row r="143" spans="1:8" ht="16.95" customHeight="1" x14ac:dyDescent="0.3">
      <c r="A143" s="189" t="s">
        <v>380</v>
      </c>
      <c r="B143" s="186">
        <v>1</v>
      </c>
      <c r="C143" s="233">
        <f t="shared" si="6"/>
        <v>1433.56</v>
      </c>
      <c r="D143" s="188"/>
      <c r="E143" s="233"/>
      <c r="F143" s="233">
        <f>1293.56+140</f>
        <v>1433.56</v>
      </c>
      <c r="G143" s="233">
        <f t="shared" si="7"/>
        <v>17202.72</v>
      </c>
    </row>
    <row r="144" spans="1:8" x14ac:dyDescent="0.3">
      <c r="A144" s="236" t="s">
        <v>361</v>
      </c>
      <c r="B144" s="237">
        <f>SUM(B51:B143)</f>
        <v>222</v>
      </c>
      <c r="C144" s="514"/>
      <c r="D144" s="514"/>
      <c r="E144" s="514"/>
      <c r="F144" s="514"/>
      <c r="G144" s="238">
        <f>SUM(G51:G143)</f>
        <v>9608877.9400000013</v>
      </c>
    </row>
    <row r="145" spans="1:7" x14ac:dyDescent="0.3">
      <c r="A145" s="189" t="s">
        <v>450</v>
      </c>
      <c r="B145" s="195">
        <v>1</v>
      </c>
      <c r="C145" s="233">
        <f>SUM(D145:F145)</f>
        <v>14001.29</v>
      </c>
      <c r="D145" s="233">
        <v>12760</v>
      </c>
      <c r="E145" s="233"/>
      <c r="F145" s="233">
        <v>1241.29</v>
      </c>
      <c r="G145" s="199">
        <f>C145*B145*12</f>
        <v>168015.48</v>
      </c>
    </row>
    <row r="146" spans="1:7" ht="22.5" customHeight="1" x14ac:dyDescent="0.3">
      <c r="A146" s="196" t="s">
        <v>381</v>
      </c>
      <c r="B146" s="197">
        <v>3</v>
      </c>
      <c r="C146" s="233">
        <f t="shared" ref="C146:C150" si="8">SUM(D146:F146)</f>
        <v>12792</v>
      </c>
      <c r="D146" s="233"/>
      <c r="E146" s="233"/>
      <c r="F146" s="233">
        <v>12792</v>
      </c>
      <c r="G146" s="233">
        <f>B146*C146*4-0.01</f>
        <v>153503.99</v>
      </c>
    </row>
    <row r="147" spans="1:7" x14ac:dyDescent="0.3">
      <c r="A147" s="196" t="s">
        <v>354</v>
      </c>
      <c r="B147" s="197">
        <v>1</v>
      </c>
      <c r="C147" s="198">
        <f t="shared" si="8"/>
        <v>12792</v>
      </c>
      <c r="D147" s="198">
        <v>10770</v>
      </c>
      <c r="E147" s="233"/>
      <c r="F147" s="233">
        <v>2022</v>
      </c>
      <c r="G147" s="233">
        <f t="shared" ref="G147:G150" si="9">C147*B147*4</f>
        <v>51168</v>
      </c>
    </row>
    <row r="148" spans="1:7" ht="17.399999999999999" customHeight="1" x14ac:dyDescent="0.3">
      <c r="A148" s="196" t="s">
        <v>383</v>
      </c>
      <c r="B148" s="197">
        <v>0.5</v>
      </c>
      <c r="C148" s="198">
        <f t="shared" si="8"/>
        <v>12792</v>
      </c>
      <c r="D148" s="198">
        <v>10310</v>
      </c>
      <c r="E148" s="233"/>
      <c r="F148" s="233">
        <v>2482</v>
      </c>
      <c r="G148" s="233">
        <f t="shared" si="9"/>
        <v>25584</v>
      </c>
    </row>
    <row r="149" spans="1:7" ht="45" customHeight="1" x14ac:dyDescent="0.3">
      <c r="A149" s="196" t="s">
        <v>384</v>
      </c>
      <c r="B149" s="197">
        <v>1</v>
      </c>
      <c r="C149" s="198">
        <f t="shared" si="8"/>
        <v>12792</v>
      </c>
      <c r="D149" s="198">
        <v>11240</v>
      </c>
      <c r="E149" s="233"/>
      <c r="F149" s="233">
        <v>1552</v>
      </c>
      <c r="G149" s="233">
        <f t="shared" si="9"/>
        <v>51168</v>
      </c>
    </row>
    <row r="150" spans="1:7" ht="41.4" x14ac:dyDescent="0.3">
      <c r="A150" s="196" t="s">
        <v>385</v>
      </c>
      <c r="B150" s="197">
        <v>1</v>
      </c>
      <c r="C150" s="198">
        <f t="shared" si="8"/>
        <v>12792</v>
      </c>
      <c r="D150" s="198">
        <v>11240</v>
      </c>
      <c r="E150" s="233"/>
      <c r="F150" s="233">
        <v>1552</v>
      </c>
      <c r="G150" s="233">
        <f t="shared" si="9"/>
        <v>51168</v>
      </c>
    </row>
    <row r="151" spans="1:7" x14ac:dyDescent="0.3">
      <c r="A151" s="236" t="s">
        <v>361</v>
      </c>
      <c r="B151" s="237">
        <f>SUM(B145:B150)</f>
        <v>7.5</v>
      </c>
      <c r="C151" s="297"/>
      <c r="D151" s="297"/>
      <c r="E151" s="297"/>
      <c r="F151" s="297"/>
      <c r="G151" s="238">
        <f>SUM(G145:G150)</f>
        <v>500607.47</v>
      </c>
    </row>
    <row r="152" spans="1:7" x14ac:dyDescent="0.3">
      <c r="A152" s="189" t="s">
        <v>1</v>
      </c>
      <c r="B152" s="195">
        <f>B144+B151</f>
        <v>229.5</v>
      </c>
      <c r="C152" s="195"/>
      <c r="D152" s="195"/>
      <c r="E152" s="195"/>
      <c r="F152" s="195"/>
      <c r="G152" s="199">
        <f>G144+G151</f>
        <v>10109485.410000002</v>
      </c>
    </row>
    <row r="153" spans="1:7" ht="16.2" customHeight="1" x14ac:dyDescent="0.3">
      <c r="A153" s="156" t="s">
        <v>145</v>
      </c>
      <c r="B153" s="156"/>
      <c r="C153" s="155"/>
      <c r="D153" s="155"/>
      <c r="E153" s="155"/>
      <c r="F153" s="155"/>
      <c r="G153" s="155">
        <f>'платные на 2023-2024 год'!G31+'платные на 2023-2024 год'!G68</f>
        <v>10109485.41</v>
      </c>
    </row>
    <row r="154" spans="1:7" ht="18.600000000000001" customHeight="1" x14ac:dyDescent="0.3">
      <c r="A154" s="6"/>
    </row>
    <row r="155" spans="1:7" ht="32.4" customHeight="1" x14ac:dyDescent="0.3">
      <c r="A155" s="415" t="s">
        <v>179</v>
      </c>
      <c r="B155" s="415"/>
      <c r="C155" s="415"/>
      <c r="D155" s="415"/>
      <c r="E155" s="415"/>
      <c r="F155" s="415"/>
      <c r="G155" s="415"/>
    </row>
    <row r="156" spans="1:7" ht="18" customHeight="1" x14ac:dyDescent="0.3">
      <c r="A156" s="102"/>
      <c r="B156" s="102"/>
      <c r="C156" s="102"/>
      <c r="D156" s="102"/>
      <c r="E156" s="102"/>
      <c r="F156" s="102"/>
      <c r="G156" s="102"/>
    </row>
    <row r="157" spans="1:7" ht="18" x14ac:dyDescent="0.35">
      <c r="A157" s="7" t="s">
        <v>144</v>
      </c>
      <c r="B157" s="8">
        <v>119</v>
      </c>
    </row>
    <row r="158" spans="1:7" ht="21.6" customHeight="1" x14ac:dyDescent="0.3">
      <c r="A158" s="9"/>
    </row>
    <row r="159" spans="1:7" x14ac:dyDescent="0.3">
      <c r="A159" s="416" t="s">
        <v>83</v>
      </c>
      <c r="B159" s="416" t="s">
        <v>243</v>
      </c>
      <c r="C159" s="416"/>
      <c r="D159" s="416" t="s">
        <v>184</v>
      </c>
      <c r="E159" s="416"/>
      <c r="F159" s="416" t="s">
        <v>84</v>
      </c>
      <c r="G159" s="416"/>
    </row>
    <row r="160" spans="1:7" ht="22.5" customHeight="1" x14ac:dyDescent="0.3">
      <c r="A160" s="416"/>
      <c r="B160" s="416"/>
      <c r="C160" s="416"/>
      <c r="D160" s="416"/>
      <c r="E160" s="416"/>
      <c r="F160" s="416"/>
      <c r="G160" s="416"/>
    </row>
    <row r="161" spans="1:7" ht="18" x14ac:dyDescent="0.3">
      <c r="A161" s="97">
        <v>1</v>
      </c>
      <c r="B161" s="416">
        <v>2</v>
      </c>
      <c r="C161" s="416"/>
      <c r="D161" s="416">
        <v>3</v>
      </c>
      <c r="E161" s="416"/>
      <c r="F161" s="416">
        <v>4</v>
      </c>
      <c r="G161" s="416"/>
    </row>
    <row r="162" spans="1:7" ht="31.5" customHeight="1" x14ac:dyDescent="0.3">
      <c r="A162" s="231">
        <f>B151</f>
        <v>7.5</v>
      </c>
      <c r="B162" s="452">
        <f>D162+F162</f>
        <v>650741.47593999992</v>
      </c>
      <c r="C162" s="453"/>
      <c r="D162" s="452">
        <f>G151</f>
        <v>500607.47</v>
      </c>
      <c r="E162" s="453"/>
      <c r="F162" s="452">
        <f>(D162-3475)*30.2%</f>
        <v>150134.00593999997</v>
      </c>
      <c r="G162" s="453"/>
    </row>
    <row r="163" spans="1:7" ht="18" x14ac:dyDescent="0.3">
      <c r="A163" s="231">
        <f>B144</f>
        <v>222</v>
      </c>
      <c r="B163" s="452">
        <f>D163+F163</f>
        <v>12504258.527880002</v>
      </c>
      <c r="C163" s="453"/>
      <c r="D163" s="452">
        <f>G144</f>
        <v>9608877.9400000013</v>
      </c>
      <c r="E163" s="453"/>
      <c r="F163" s="452">
        <f>(D163-21525)*30.2%</f>
        <v>2895380.5878800005</v>
      </c>
      <c r="G163" s="453"/>
    </row>
    <row r="164" spans="1:7" ht="30.75" customHeight="1" x14ac:dyDescent="0.3">
      <c r="A164" s="115">
        <f>A162+A163</f>
        <v>229.5</v>
      </c>
      <c r="B164" s="417">
        <f>'платные на 2023-2024 год'!G31+'платные на 2023-2024 год'!G33+'платные на 2023-2024 год'!G68</f>
        <v>13155000</v>
      </c>
      <c r="C164" s="417"/>
      <c r="D164" s="417">
        <f>G153</f>
        <v>10109485.41</v>
      </c>
      <c r="E164" s="417"/>
      <c r="F164" s="417">
        <f>B164-D164</f>
        <v>3045514.59</v>
      </c>
      <c r="G164" s="417"/>
    </row>
    <row r="165" spans="1:7" ht="36" customHeight="1" x14ac:dyDescent="0.3">
      <c r="A165" s="6"/>
    </row>
    <row r="166" spans="1:7" ht="17.399999999999999" x14ac:dyDescent="0.3">
      <c r="A166" s="424" t="s">
        <v>202</v>
      </c>
      <c r="B166" s="424"/>
      <c r="C166" s="424"/>
      <c r="D166" s="424"/>
      <c r="E166" s="424"/>
      <c r="F166" s="424"/>
      <c r="G166" s="424"/>
    </row>
    <row r="167" spans="1:7" ht="18" x14ac:dyDescent="0.3">
      <c r="A167" s="7"/>
    </row>
    <row r="168" spans="1:7" ht="18" x14ac:dyDescent="0.35">
      <c r="A168" s="7" t="s">
        <v>146</v>
      </c>
      <c r="B168" s="8">
        <v>112</v>
      </c>
    </row>
    <row r="169" spans="1:7" ht="15" x14ac:dyDescent="0.3">
      <c r="A169" s="9"/>
    </row>
    <row r="170" spans="1:7" ht="54" x14ac:dyDescent="0.3">
      <c r="A170" s="97" t="s">
        <v>85</v>
      </c>
      <c r="B170" s="97" t="s">
        <v>86</v>
      </c>
      <c r="C170" s="416" t="s">
        <v>87</v>
      </c>
      <c r="D170" s="416"/>
      <c r="E170" s="97" t="s">
        <v>88</v>
      </c>
      <c r="F170" s="416" t="s">
        <v>89</v>
      </c>
      <c r="G170" s="416"/>
    </row>
    <row r="171" spans="1:7" ht="18" x14ac:dyDescent="0.3">
      <c r="A171" s="97">
        <v>1</v>
      </c>
      <c r="B171" s="97">
        <v>2</v>
      </c>
      <c r="C171" s="416">
        <v>3</v>
      </c>
      <c r="D171" s="416"/>
      <c r="E171" s="97">
        <v>4</v>
      </c>
      <c r="F171" s="416">
        <v>5</v>
      </c>
      <c r="G171" s="416"/>
    </row>
    <row r="172" spans="1:7" ht="22.2" customHeight="1" x14ac:dyDescent="0.3">
      <c r="A172" s="11" t="s">
        <v>90</v>
      </c>
      <c r="B172" s="100">
        <v>60</v>
      </c>
      <c r="C172" s="417">
        <v>300</v>
      </c>
      <c r="D172" s="417"/>
      <c r="E172" s="117">
        <v>5</v>
      </c>
      <c r="F172" s="417">
        <f>'платные на 2023-2024 год'!G32</f>
        <v>90000</v>
      </c>
      <c r="G172" s="417"/>
    </row>
    <row r="173" spans="1:7" ht="20.399999999999999" customHeight="1" x14ac:dyDescent="0.3">
      <c r="A173" s="6"/>
    </row>
    <row r="174" spans="1:7" ht="18" customHeight="1" x14ac:dyDescent="0.3">
      <c r="A174" s="424" t="s">
        <v>226</v>
      </c>
      <c r="B174" s="424"/>
      <c r="C174" s="424"/>
      <c r="D174" s="424"/>
      <c r="E174" s="424"/>
      <c r="F174" s="424"/>
      <c r="G174" s="424"/>
    </row>
    <row r="175" spans="1:7" ht="15" customHeight="1" x14ac:dyDescent="0.3">
      <c r="A175" s="7"/>
    </row>
    <row r="176" spans="1:7" ht="14.4" customHeight="1" x14ac:dyDescent="0.35">
      <c r="A176" s="7" t="s">
        <v>146</v>
      </c>
      <c r="B176" s="8">
        <v>112</v>
      </c>
    </row>
    <row r="177" spans="1:7" ht="16.2" customHeight="1" x14ac:dyDescent="0.3">
      <c r="A177" s="9"/>
    </row>
    <row r="178" spans="1:7" ht="36" x14ac:dyDescent="0.3">
      <c r="A178" s="408" t="s">
        <v>85</v>
      </c>
      <c r="B178" s="410"/>
      <c r="C178" s="115" t="s">
        <v>227</v>
      </c>
      <c r="D178" s="408" t="s">
        <v>228</v>
      </c>
      <c r="E178" s="410"/>
      <c r="F178" s="416" t="s">
        <v>93</v>
      </c>
      <c r="G178" s="416"/>
    </row>
    <row r="179" spans="1:7" ht="16.95" customHeight="1" x14ac:dyDescent="0.3">
      <c r="A179" s="408">
        <v>1</v>
      </c>
      <c r="B179" s="410"/>
      <c r="C179" s="115">
        <v>2</v>
      </c>
      <c r="D179" s="408">
        <v>3</v>
      </c>
      <c r="E179" s="410"/>
      <c r="F179" s="416">
        <v>4</v>
      </c>
      <c r="G179" s="416"/>
    </row>
    <row r="180" spans="1:7" ht="38.4" customHeight="1" x14ac:dyDescent="0.3">
      <c r="A180" s="411" t="s">
        <v>387</v>
      </c>
      <c r="B180" s="411"/>
      <c r="C180" s="115">
        <v>294</v>
      </c>
      <c r="D180" s="416">
        <v>873.67</v>
      </c>
      <c r="E180" s="416"/>
      <c r="F180" s="417">
        <f>C180*D180</f>
        <v>256858.97999999998</v>
      </c>
      <c r="G180" s="417"/>
    </row>
    <row r="181" spans="1:7" ht="52.95" customHeight="1" x14ac:dyDescent="0.3">
      <c r="A181" s="411" t="s">
        <v>388</v>
      </c>
      <c r="B181" s="411"/>
      <c r="C181" s="115">
        <v>104</v>
      </c>
      <c r="D181" s="416">
        <v>395.01</v>
      </c>
      <c r="E181" s="416"/>
      <c r="F181" s="417">
        <f>C181*D181-0.02</f>
        <v>41081.020000000004</v>
      </c>
      <c r="G181" s="417"/>
    </row>
    <row r="182" spans="1:7" ht="18" customHeight="1" x14ac:dyDescent="0.3">
      <c r="A182" s="412" t="s">
        <v>361</v>
      </c>
      <c r="B182" s="414"/>
      <c r="C182" s="408"/>
      <c r="D182" s="409"/>
      <c r="E182" s="410"/>
      <c r="F182" s="417">
        <f>'платные на 2023-2024 год'!G35</f>
        <v>297940</v>
      </c>
      <c r="G182" s="417"/>
    </row>
    <row r="183" spans="1:7" ht="18" customHeight="1" x14ac:dyDescent="0.3">
      <c r="A183" s="13"/>
      <c r="B183" s="14"/>
      <c r="C183" s="17"/>
      <c r="D183" s="17"/>
      <c r="E183" s="18"/>
      <c r="F183" s="17"/>
      <c r="G183" s="17"/>
    </row>
    <row r="184" spans="1:7" ht="36" customHeight="1" x14ac:dyDescent="0.3">
      <c r="A184" s="424" t="s">
        <v>203</v>
      </c>
      <c r="B184" s="424"/>
      <c r="C184" s="424"/>
      <c r="D184" s="424"/>
      <c r="E184" s="424"/>
      <c r="F184" s="424"/>
      <c r="G184" s="424"/>
    </row>
    <row r="185" spans="1:7" ht="13.95" customHeight="1" x14ac:dyDescent="0.3">
      <c r="A185" s="7"/>
    </row>
    <row r="186" spans="1:7" ht="42" customHeight="1" x14ac:dyDescent="0.3">
      <c r="A186" s="424" t="s">
        <v>204</v>
      </c>
      <c r="B186" s="424"/>
      <c r="C186" s="424"/>
      <c r="D186" s="424"/>
      <c r="E186" s="424"/>
      <c r="F186" s="424"/>
      <c r="G186" s="424"/>
    </row>
    <row r="187" spans="1:7" ht="18" customHeight="1" x14ac:dyDescent="0.3">
      <c r="A187" s="101"/>
      <c r="B187" s="101"/>
      <c r="C187" s="101"/>
      <c r="D187" s="101"/>
      <c r="E187" s="101"/>
      <c r="F187" s="101"/>
      <c r="G187" s="101"/>
    </row>
    <row r="188" spans="1:7" ht="18.600000000000001" customHeight="1" x14ac:dyDescent="0.35">
      <c r="A188" s="7" t="s">
        <v>146</v>
      </c>
      <c r="B188" s="8">
        <v>112</v>
      </c>
    </row>
    <row r="189" spans="1:7" ht="15" x14ac:dyDescent="0.3">
      <c r="A189" s="9"/>
    </row>
    <row r="190" spans="1:7" ht="56.25" customHeight="1" x14ac:dyDescent="0.3">
      <c r="A190" s="97" t="s">
        <v>85</v>
      </c>
      <c r="B190" s="97" t="s">
        <v>86</v>
      </c>
      <c r="C190" s="416" t="s">
        <v>87</v>
      </c>
      <c r="D190" s="416"/>
      <c r="E190" s="97" t="s">
        <v>88</v>
      </c>
      <c r="F190" s="416" t="s">
        <v>89</v>
      </c>
      <c r="G190" s="416"/>
    </row>
    <row r="191" spans="1:7" ht="18" x14ac:dyDescent="0.3">
      <c r="A191" s="97">
        <v>1</v>
      </c>
      <c r="B191" s="97">
        <v>2</v>
      </c>
      <c r="C191" s="416">
        <v>3</v>
      </c>
      <c r="D191" s="416"/>
      <c r="E191" s="97">
        <v>4</v>
      </c>
      <c r="F191" s="416">
        <v>5</v>
      </c>
      <c r="G191" s="416"/>
    </row>
    <row r="192" spans="1:7" ht="36" x14ac:dyDescent="0.3">
      <c r="A192" s="11" t="s">
        <v>94</v>
      </c>
      <c r="B192" s="178">
        <v>5</v>
      </c>
      <c r="C192" s="417">
        <v>3000</v>
      </c>
      <c r="D192" s="417"/>
      <c r="E192" s="178">
        <v>5</v>
      </c>
      <c r="F192" s="417">
        <f>'платные на 2023-2024 год'!G58</f>
        <v>75000</v>
      </c>
      <c r="G192" s="417"/>
    </row>
    <row r="193" spans="1:7" ht="17.399999999999999" hidden="1" x14ac:dyDescent="0.3">
      <c r="A193" s="6"/>
    </row>
    <row r="194" spans="1:7" ht="17.399999999999999" hidden="1" x14ac:dyDescent="0.3">
      <c r="A194" s="6"/>
    </row>
    <row r="195" spans="1:7" ht="17.399999999999999" hidden="1" x14ac:dyDescent="0.3">
      <c r="A195" s="6"/>
    </row>
    <row r="196" spans="1:7" ht="39" customHeight="1" x14ac:dyDescent="0.3">
      <c r="A196" s="424" t="s">
        <v>206</v>
      </c>
      <c r="B196" s="424"/>
      <c r="C196" s="424"/>
      <c r="D196" s="424"/>
      <c r="E196" s="424"/>
      <c r="F196" s="424"/>
      <c r="G196" s="424"/>
    </row>
    <row r="197" spans="1:7" ht="17.399999999999999" x14ac:dyDescent="0.3">
      <c r="A197" s="101"/>
      <c r="B197" s="101"/>
      <c r="C197" s="101"/>
      <c r="D197" s="101"/>
      <c r="E197" s="101"/>
      <c r="F197" s="101"/>
      <c r="G197" s="101"/>
    </row>
    <row r="198" spans="1:7" ht="18" x14ac:dyDescent="0.35">
      <c r="A198" s="7" t="s">
        <v>144</v>
      </c>
      <c r="B198" s="8">
        <v>111</v>
      </c>
    </row>
    <row r="199" spans="1:7" ht="15" x14ac:dyDescent="0.3">
      <c r="A199" s="9"/>
    </row>
    <row r="200" spans="1:7" ht="45" customHeight="1" x14ac:dyDescent="0.3">
      <c r="A200" s="97" t="s">
        <v>85</v>
      </c>
      <c r="B200" s="416" t="s">
        <v>98</v>
      </c>
      <c r="C200" s="416"/>
      <c r="D200" s="416" t="s">
        <v>99</v>
      </c>
      <c r="E200" s="416"/>
      <c r="F200" s="416" t="s">
        <v>100</v>
      </c>
      <c r="G200" s="416"/>
    </row>
    <row r="201" spans="1:7" ht="16.95" customHeight="1" x14ac:dyDescent="0.35">
      <c r="A201" s="97">
        <v>1</v>
      </c>
      <c r="B201" s="408">
        <v>2</v>
      </c>
      <c r="C201" s="410"/>
      <c r="D201" s="408">
        <v>3</v>
      </c>
      <c r="E201" s="410"/>
      <c r="F201" s="422">
        <v>4</v>
      </c>
      <c r="G201" s="423"/>
    </row>
    <row r="202" spans="1:7" ht="90.75" customHeight="1" x14ac:dyDescent="0.3">
      <c r="A202" s="11" t="s">
        <v>101</v>
      </c>
      <c r="B202" s="408">
        <v>29</v>
      </c>
      <c r="C202" s="410"/>
      <c r="D202" s="408">
        <v>862.07</v>
      </c>
      <c r="E202" s="410"/>
      <c r="F202" s="420">
        <f>'платные на 2023-2024 год'!G68</f>
        <v>25000</v>
      </c>
      <c r="G202" s="421"/>
    </row>
    <row r="203" spans="1:7" ht="18" x14ac:dyDescent="0.3">
      <c r="A203" s="13"/>
      <c r="B203" s="14"/>
      <c r="C203" s="14"/>
      <c r="D203" s="14"/>
      <c r="E203" s="14"/>
      <c r="F203" s="15"/>
      <c r="G203" s="15"/>
    </row>
    <row r="204" spans="1:7" ht="17.399999999999999" x14ac:dyDescent="0.3">
      <c r="A204" s="424" t="s">
        <v>225</v>
      </c>
      <c r="B204" s="424"/>
      <c r="C204" s="424"/>
      <c r="D204" s="424"/>
      <c r="E204" s="424"/>
      <c r="F204" s="424"/>
      <c r="G204" s="424"/>
    </row>
    <row r="205" spans="1:7" ht="18" x14ac:dyDescent="0.35">
      <c r="A205" s="7" t="s">
        <v>144</v>
      </c>
      <c r="B205" s="8">
        <v>851</v>
      </c>
    </row>
    <row r="206" spans="1:7" ht="15" x14ac:dyDescent="0.3">
      <c r="A206" s="9"/>
    </row>
    <row r="207" spans="1:7" ht="18" x14ac:dyDescent="0.3">
      <c r="A207" s="97" t="s">
        <v>85</v>
      </c>
      <c r="B207" s="416" t="s">
        <v>108</v>
      </c>
      <c r="C207" s="416"/>
      <c r="D207" s="416" t="s">
        <v>109</v>
      </c>
      <c r="E207" s="416"/>
      <c r="F207" s="416" t="s">
        <v>110</v>
      </c>
      <c r="G207" s="416"/>
    </row>
    <row r="208" spans="1:7" ht="18" x14ac:dyDescent="0.3">
      <c r="A208" s="97">
        <v>1</v>
      </c>
      <c r="B208" s="408">
        <v>2</v>
      </c>
      <c r="C208" s="410"/>
      <c r="D208" s="559">
        <v>3</v>
      </c>
      <c r="E208" s="560"/>
      <c r="F208" s="559">
        <v>4</v>
      </c>
      <c r="G208" s="560"/>
    </row>
    <row r="209" spans="1:7" ht="18" x14ac:dyDescent="0.3">
      <c r="A209" s="393" t="s">
        <v>111</v>
      </c>
      <c r="B209" s="461">
        <v>398932</v>
      </c>
      <c r="C209" s="461"/>
      <c r="D209" s="525">
        <v>2.2000000000000002</v>
      </c>
      <c r="E209" s="525"/>
      <c r="F209" s="603">
        <f>'платные на 2023-2024 год'!G74</f>
        <v>80000</v>
      </c>
      <c r="G209" s="604"/>
    </row>
    <row r="210" spans="1:7" ht="18" x14ac:dyDescent="0.3">
      <c r="A210" s="394"/>
      <c r="B210" s="461">
        <v>6474940</v>
      </c>
      <c r="C210" s="461"/>
      <c r="D210" s="525">
        <v>1.1000000000000001</v>
      </c>
      <c r="E210" s="525"/>
      <c r="F210" s="605"/>
      <c r="G210" s="606"/>
    </row>
    <row r="211" spans="1:7" ht="18" x14ac:dyDescent="0.3">
      <c r="A211" s="13"/>
      <c r="B211" s="14"/>
      <c r="C211" s="17"/>
      <c r="D211" s="18"/>
      <c r="E211" s="19"/>
      <c r="F211" s="19"/>
      <c r="G211" s="19"/>
    </row>
    <row r="212" spans="1:7" ht="18" x14ac:dyDescent="0.3">
      <c r="A212" s="7" t="s">
        <v>113</v>
      </c>
    </row>
    <row r="213" spans="1:7" ht="18.75" customHeight="1" x14ac:dyDescent="0.3">
      <c r="A213" s="9"/>
    </row>
    <row r="214" spans="1:7" ht="18" x14ac:dyDescent="0.3">
      <c r="A214" s="97" t="s">
        <v>85</v>
      </c>
      <c r="B214" s="416" t="s">
        <v>108</v>
      </c>
      <c r="C214" s="416"/>
      <c r="D214" s="416" t="s">
        <v>109</v>
      </c>
      <c r="E214" s="416"/>
      <c r="F214" s="416" t="s">
        <v>114</v>
      </c>
      <c r="G214" s="416"/>
    </row>
    <row r="215" spans="1:7" ht="18" x14ac:dyDescent="0.35">
      <c r="A215" s="97">
        <v>1</v>
      </c>
      <c r="B215" s="408">
        <v>2</v>
      </c>
      <c r="C215" s="410"/>
      <c r="D215" s="408">
        <v>3</v>
      </c>
      <c r="E215" s="410"/>
      <c r="F215" s="422">
        <v>4</v>
      </c>
      <c r="G215" s="423"/>
    </row>
    <row r="216" spans="1:7" ht="36" x14ac:dyDescent="0.3">
      <c r="A216" s="11" t="s">
        <v>115</v>
      </c>
      <c r="B216" s="408" t="s">
        <v>116</v>
      </c>
      <c r="C216" s="410"/>
      <c r="D216" s="408" t="s">
        <v>116</v>
      </c>
      <c r="E216" s="410"/>
      <c r="F216" s="420">
        <f>'платные на 2023-2024 год'!G75</f>
        <v>9000</v>
      </c>
      <c r="G216" s="512"/>
    </row>
    <row r="217" spans="1:7" ht="18" x14ac:dyDescent="0.3">
      <c r="A217" s="7"/>
    </row>
    <row r="218" spans="1:7" ht="17.399999999999999" x14ac:dyDescent="0.3">
      <c r="A218" s="424" t="s">
        <v>213</v>
      </c>
      <c r="B218" s="424"/>
      <c r="C218" s="424"/>
      <c r="D218" s="424"/>
      <c r="E218" s="424"/>
      <c r="F218" s="424"/>
      <c r="G218" s="424"/>
    </row>
    <row r="219" spans="1:7" ht="27" customHeight="1" x14ac:dyDescent="0.3">
      <c r="A219" s="101"/>
      <c r="B219" s="101"/>
      <c r="C219" s="101"/>
      <c r="D219" s="101"/>
      <c r="E219" s="101"/>
      <c r="F219" s="101"/>
      <c r="G219" s="101"/>
    </row>
    <row r="220" spans="1:7" ht="17.399999999999999" x14ac:dyDescent="0.3">
      <c r="A220" s="415" t="s">
        <v>215</v>
      </c>
      <c r="B220" s="415"/>
      <c r="C220" s="415"/>
      <c r="D220" s="415"/>
      <c r="E220" s="415"/>
      <c r="F220" s="415"/>
      <c r="G220" s="415"/>
    </row>
    <row r="221" spans="1:7" ht="18" x14ac:dyDescent="0.3">
      <c r="A221" s="7"/>
    </row>
    <row r="222" spans="1:7" ht="18" x14ac:dyDescent="0.3">
      <c r="A222" s="7" t="s">
        <v>144</v>
      </c>
      <c r="B222" s="4">
        <v>244</v>
      </c>
    </row>
    <row r="223" spans="1:7" ht="18.75" customHeight="1" x14ac:dyDescent="0.3">
      <c r="A223" s="6"/>
    </row>
    <row r="224" spans="1:7" ht="36" x14ac:dyDescent="0.3">
      <c r="A224" s="416" t="s">
        <v>85</v>
      </c>
      <c r="B224" s="416"/>
      <c r="C224" s="216" t="s">
        <v>120</v>
      </c>
      <c r="D224" s="416" t="s">
        <v>121</v>
      </c>
      <c r="E224" s="416"/>
      <c r="F224" s="416" t="s">
        <v>185</v>
      </c>
      <c r="G224" s="416"/>
    </row>
    <row r="225" spans="1:7" ht="18.75" customHeight="1" x14ac:dyDescent="0.3">
      <c r="A225" s="416">
        <v>1</v>
      </c>
      <c r="B225" s="416"/>
      <c r="C225" s="216">
        <v>2</v>
      </c>
      <c r="D225" s="416">
        <v>3</v>
      </c>
      <c r="E225" s="416"/>
      <c r="F225" s="499">
        <v>4</v>
      </c>
      <c r="G225" s="499"/>
    </row>
    <row r="226" spans="1:7" ht="18" x14ac:dyDescent="0.3">
      <c r="A226" s="501" t="s">
        <v>122</v>
      </c>
      <c r="B226" s="501"/>
      <c r="C226" s="212">
        <v>14</v>
      </c>
      <c r="D226" s="528">
        <v>816.66660000000002</v>
      </c>
      <c r="E226" s="528"/>
      <c r="F226" s="528">
        <f>C226*D226*12-0.03</f>
        <v>137199.95879999999</v>
      </c>
      <c r="G226" s="528"/>
    </row>
    <row r="227" spans="1:7" ht="18.75" customHeight="1" x14ac:dyDescent="0.3">
      <c r="A227" s="501" t="s">
        <v>359</v>
      </c>
      <c r="B227" s="501"/>
      <c r="C227" s="212">
        <v>7</v>
      </c>
      <c r="D227" s="528">
        <v>129.16659999999999</v>
      </c>
      <c r="E227" s="528"/>
      <c r="F227" s="528">
        <f>C227*D227*12-0.03</f>
        <v>10849.964399999999</v>
      </c>
      <c r="G227" s="528"/>
    </row>
    <row r="228" spans="1:7" ht="18" x14ac:dyDescent="0.3">
      <c r="A228" s="501" t="s">
        <v>360</v>
      </c>
      <c r="B228" s="501"/>
      <c r="C228" s="212">
        <v>5</v>
      </c>
      <c r="D228" s="528">
        <v>1250</v>
      </c>
      <c r="E228" s="528"/>
      <c r="F228" s="528">
        <f>C228*D228*12</f>
        <v>75000</v>
      </c>
      <c r="G228" s="528"/>
    </row>
    <row r="229" spans="1:7" ht="18.75" customHeight="1" x14ac:dyDescent="0.3">
      <c r="A229" s="501" t="s">
        <v>389</v>
      </c>
      <c r="B229" s="501"/>
      <c r="C229" s="212">
        <v>2</v>
      </c>
      <c r="D229" s="528">
        <v>1977.0833</v>
      </c>
      <c r="E229" s="528"/>
      <c r="F229" s="528">
        <f>C229*D229*12+0.08</f>
        <v>47450.0792</v>
      </c>
      <c r="G229" s="528"/>
    </row>
    <row r="230" spans="1:7" ht="18" x14ac:dyDescent="0.3">
      <c r="A230" s="501" t="s">
        <v>390</v>
      </c>
      <c r="B230" s="501"/>
      <c r="C230" s="220">
        <v>13</v>
      </c>
      <c r="D230" s="440">
        <v>125</v>
      </c>
      <c r="E230" s="440"/>
      <c r="F230" s="440">
        <f>C230*D230*12</f>
        <v>19500</v>
      </c>
      <c r="G230" s="440"/>
    </row>
    <row r="231" spans="1:7" ht="18" x14ac:dyDescent="0.3">
      <c r="A231" s="416" t="s">
        <v>361</v>
      </c>
      <c r="B231" s="416"/>
      <c r="C231" s="164"/>
      <c r="D231" s="499"/>
      <c r="E231" s="499"/>
      <c r="F231" s="500">
        <f>'платные на 2023-2024 год'!G39</f>
        <v>290000</v>
      </c>
      <c r="G231" s="500"/>
    </row>
    <row r="232" spans="1:7" ht="15" x14ac:dyDescent="0.3">
      <c r="A232" s="21"/>
    </row>
    <row r="233" spans="1:7" ht="17.399999999999999" x14ac:dyDescent="0.3">
      <c r="A233" s="415" t="s">
        <v>216</v>
      </c>
      <c r="B233" s="415"/>
      <c r="C233" s="415"/>
      <c r="D233" s="415"/>
      <c r="E233" s="415"/>
      <c r="F233" s="415"/>
      <c r="G233" s="415"/>
    </row>
    <row r="234" spans="1:7" ht="18" x14ac:dyDescent="0.3">
      <c r="A234" s="7"/>
    </row>
    <row r="235" spans="1:7" ht="18" x14ac:dyDescent="0.35">
      <c r="A235" s="7" t="s">
        <v>144</v>
      </c>
      <c r="B235" s="8">
        <v>244</v>
      </c>
    </row>
    <row r="236" spans="1:7" ht="17.399999999999999" x14ac:dyDescent="0.3">
      <c r="A236" s="6"/>
    </row>
    <row r="237" spans="1:7" ht="54" x14ac:dyDescent="0.3">
      <c r="A237" s="408" t="s">
        <v>85</v>
      </c>
      <c r="B237" s="410"/>
      <c r="C237" s="181" t="s">
        <v>124</v>
      </c>
      <c r="D237" s="416" t="s">
        <v>92</v>
      </c>
      <c r="E237" s="416"/>
      <c r="F237" s="416" t="s">
        <v>185</v>
      </c>
      <c r="G237" s="416"/>
    </row>
    <row r="238" spans="1:7" ht="18" x14ac:dyDescent="0.3">
      <c r="A238" s="408">
        <v>1</v>
      </c>
      <c r="B238" s="410"/>
      <c r="C238" s="116">
        <v>2</v>
      </c>
      <c r="D238" s="408">
        <v>3</v>
      </c>
      <c r="E238" s="410"/>
      <c r="F238" s="408">
        <v>4</v>
      </c>
      <c r="G238" s="410"/>
    </row>
    <row r="239" spans="1:7" ht="18" x14ac:dyDescent="0.3">
      <c r="A239" s="515" t="s">
        <v>391</v>
      </c>
      <c r="B239" s="515"/>
      <c r="C239" s="172">
        <v>4</v>
      </c>
      <c r="D239" s="427">
        <v>8333.3333299999995</v>
      </c>
      <c r="E239" s="427"/>
      <c r="F239" s="452">
        <f>'платные на 2023-2024 год'!G42</f>
        <v>400000</v>
      </c>
      <c r="G239" s="453"/>
    </row>
    <row r="240" spans="1:7" ht="17.399999999999999" x14ac:dyDescent="0.3">
      <c r="A240" s="6"/>
    </row>
    <row r="241" spans="1:7" ht="17.399999999999999" x14ac:dyDescent="0.3">
      <c r="A241" s="6"/>
    </row>
    <row r="242" spans="1:7" ht="17.399999999999999" x14ac:dyDescent="0.3">
      <c r="A242" s="6"/>
    </row>
    <row r="243" spans="1:7" ht="17.399999999999999" x14ac:dyDescent="0.3">
      <c r="A243" s="6"/>
    </row>
    <row r="244" spans="1:7" ht="17.399999999999999" x14ac:dyDescent="0.3">
      <c r="A244" s="6"/>
    </row>
    <row r="245" spans="1:7" ht="17.399999999999999" x14ac:dyDescent="0.3">
      <c r="A245" s="6"/>
    </row>
    <row r="246" spans="1:7" ht="17.399999999999999" hidden="1" x14ac:dyDescent="0.3">
      <c r="A246" s="6"/>
    </row>
    <row r="247" spans="1:7" ht="17.399999999999999" hidden="1" x14ac:dyDescent="0.3">
      <c r="A247" s="6"/>
    </row>
    <row r="248" spans="1:7" ht="17.399999999999999" x14ac:dyDescent="0.3">
      <c r="A248" s="415" t="s">
        <v>217</v>
      </c>
      <c r="B248" s="415"/>
      <c r="C248" s="415"/>
      <c r="D248" s="415"/>
      <c r="E248" s="415"/>
      <c r="F248" s="415"/>
      <c r="G248" s="415"/>
    </row>
    <row r="249" spans="1:7" ht="18" x14ac:dyDescent="0.3">
      <c r="A249" s="7"/>
    </row>
    <row r="250" spans="1:7" ht="18" x14ac:dyDescent="0.35">
      <c r="A250" s="7" t="s">
        <v>144</v>
      </c>
      <c r="B250" s="8">
        <v>244</v>
      </c>
    </row>
    <row r="251" spans="1:7" ht="17.399999999999999" x14ac:dyDescent="0.3">
      <c r="A251" s="6"/>
    </row>
    <row r="252" spans="1:7" ht="46.8" x14ac:dyDescent="0.3">
      <c r="A252" s="416" t="s">
        <v>85</v>
      </c>
      <c r="B252" s="416"/>
      <c r="C252" s="354" t="s">
        <v>125</v>
      </c>
      <c r="D252" s="416" t="s">
        <v>126</v>
      </c>
      <c r="E252" s="416"/>
      <c r="F252" s="416" t="s">
        <v>93</v>
      </c>
      <c r="G252" s="416"/>
    </row>
    <row r="253" spans="1:7" ht="18" x14ac:dyDescent="0.3">
      <c r="A253" s="416">
        <v>1</v>
      </c>
      <c r="B253" s="416"/>
      <c r="C253" s="355">
        <v>2</v>
      </c>
      <c r="D253" s="416">
        <v>3</v>
      </c>
      <c r="E253" s="416"/>
      <c r="F253" s="416">
        <v>4</v>
      </c>
      <c r="G253" s="416"/>
    </row>
    <row r="254" spans="1:7" ht="40.950000000000003" customHeight="1" x14ac:dyDescent="0.3">
      <c r="A254" s="411" t="s">
        <v>21</v>
      </c>
      <c r="B254" s="411"/>
      <c r="C254" s="355">
        <v>1039.2849699999999</v>
      </c>
      <c r="D254" s="417">
        <v>96.22</v>
      </c>
      <c r="E254" s="417"/>
      <c r="F254" s="417">
        <f>'платные на 2023-2024 год'!H51</f>
        <v>100000</v>
      </c>
      <c r="G254" s="417"/>
    </row>
    <row r="255" spans="1:7" ht="37.950000000000003" customHeight="1" x14ac:dyDescent="0.3">
      <c r="A255" s="412" t="s">
        <v>22</v>
      </c>
      <c r="B255" s="414"/>
      <c r="C255" s="355">
        <v>276.89325000000002</v>
      </c>
      <c r="D255" s="452">
        <v>361.15</v>
      </c>
      <c r="E255" s="453"/>
      <c r="F255" s="452">
        <f>'платные на 2023-2024 год'!H52</f>
        <v>100000</v>
      </c>
      <c r="G255" s="453"/>
    </row>
    <row r="256" spans="1:7" ht="37.200000000000003" customHeight="1" x14ac:dyDescent="0.3">
      <c r="A256" s="411" t="s">
        <v>361</v>
      </c>
      <c r="B256" s="411"/>
      <c r="C256" s="355"/>
      <c r="D256" s="417"/>
      <c r="E256" s="417"/>
      <c r="F256" s="417">
        <f>SUM(F254:G255)</f>
        <v>200000</v>
      </c>
      <c r="G256" s="417"/>
    </row>
    <row r="257" spans="1:7" ht="18" x14ac:dyDescent="0.3">
      <c r="A257" s="26"/>
      <c r="B257" s="26"/>
      <c r="C257" s="17"/>
      <c r="D257" s="305"/>
      <c r="E257" s="305"/>
      <c r="F257" s="305"/>
      <c r="G257" s="305"/>
    </row>
    <row r="258" spans="1:7" ht="18" x14ac:dyDescent="0.35">
      <c r="A258" s="7" t="s">
        <v>144</v>
      </c>
      <c r="B258" s="8">
        <v>247</v>
      </c>
    </row>
    <row r="259" spans="1:7" ht="17.399999999999999" x14ac:dyDescent="0.3">
      <c r="A259" s="6"/>
    </row>
    <row r="260" spans="1:7" ht="46.8" x14ac:dyDescent="0.3">
      <c r="A260" s="416" t="s">
        <v>85</v>
      </c>
      <c r="B260" s="416"/>
      <c r="C260" s="354" t="s">
        <v>125</v>
      </c>
      <c r="D260" s="416" t="s">
        <v>126</v>
      </c>
      <c r="E260" s="416"/>
      <c r="F260" s="416" t="s">
        <v>93</v>
      </c>
      <c r="G260" s="416"/>
    </row>
    <row r="261" spans="1:7" ht="18" x14ac:dyDescent="0.3">
      <c r="A261" s="416">
        <v>1</v>
      </c>
      <c r="B261" s="416"/>
      <c r="C261" s="355">
        <v>2</v>
      </c>
      <c r="D261" s="416">
        <v>3</v>
      </c>
      <c r="E261" s="416"/>
      <c r="F261" s="416">
        <v>4</v>
      </c>
      <c r="G261" s="416"/>
    </row>
    <row r="262" spans="1:7" ht="38.25" customHeight="1" x14ac:dyDescent="0.3">
      <c r="A262" s="411" t="s">
        <v>18</v>
      </c>
      <c r="B262" s="411"/>
      <c r="C262" s="355">
        <v>38.797283999999998</v>
      </c>
      <c r="D262" s="417">
        <v>2577.5</v>
      </c>
      <c r="E262" s="417"/>
      <c r="F262" s="417">
        <f>'платные на 2023-2024 год'!H48</f>
        <v>100000</v>
      </c>
      <c r="G262" s="417"/>
    </row>
    <row r="263" spans="1:7" ht="38.25" customHeight="1" x14ac:dyDescent="0.3">
      <c r="A263" s="411" t="s">
        <v>20</v>
      </c>
      <c r="B263" s="411"/>
      <c r="C263" s="355">
        <v>10526.31589</v>
      </c>
      <c r="D263" s="417">
        <v>9.5</v>
      </c>
      <c r="E263" s="417"/>
      <c r="F263" s="417">
        <f>'платные на 2023-2024 год'!H50</f>
        <v>100000</v>
      </c>
      <c r="G263" s="417"/>
    </row>
    <row r="264" spans="1:7" ht="18" x14ac:dyDescent="0.3">
      <c r="A264" s="411" t="s">
        <v>361</v>
      </c>
      <c r="B264" s="411"/>
      <c r="C264" s="355"/>
      <c r="D264" s="417"/>
      <c r="E264" s="417"/>
      <c r="F264" s="417">
        <f>SUM(F262:F263)</f>
        <v>200000</v>
      </c>
      <c r="G264" s="417"/>
    </row>
    <row r="265" spans="1:7" ht="18" x14ac:dyDescent="0.3">
      <c r="A265" s="23"/>
      <c r="B265" s="24"/>
      <c r="C265" s="24"/>
      <c r="D265" s="24"/>
      <c r="E265" s="24"/>
      <c r="F265" s="24"/>
      <c r="G265" s="24"/>
    </row>
    <row r="266" spans="1:7" ht="17.399999999999999" x14ac:dyDescent="0.3">
      <c r="A266" s="441" t="s">
        <v>392</v>
      </c>
      <c r="B266" s="441"/>
      <c r="C266" s="441"/>
      <c r="D266" s="441"/>
      <c r="E266" s="441"/>
      <c r="F266" s="441"/>
      <c r="G266" s="441"/>
    </row>
    <row r="267" spans="1:7" ht="18" x14ac:dyDescent="0.3">
      <c r="A267" s="7"/>
    </row>
    <row r="268" spans="1:7" ht="18" x14ac:dyDescent="0.35">
      <c r="A268" s="7" t="s">
        <v>144</v>
      </c>
      <c r="B268" s="8">
        <v>244</v>
      </c>
    </row>
    <row r="269" spans="1:7" ht="17.399999999999999" x14ac:dyDescent="0.3">
      <c r="A269" s="6"/>
    </row>
    <row r="270" spans="1:7" ht="36.75" customHeight="1" x14ac:dyDescent="0.3">
      <c r="A270" s="416" t="s">
        <v>85</v>
      </c>
      <c r="B270" s="416"/>
      <c r="C270" s="416"/>
      <c r="D270" s="416" t="s">
        <v>130</v>
      </c>
      <c r="E270" s="416"/>
      <c r="F270" s="416" t="s">
        <v>131</v>
      </c>
      <c r="G270" s="416"/>
    </row>
    <row r="271" spans="1:7" ht="18" x14ac:dyDescent="0.35">
      <c r="A271" s="416">
        <v>1</v>
      </c>
      <c r="B271" s="416"/>
      <c r="C271" s="416"/>
      <c r="D271" s="476">
        <v>2</v>
      </c>
      <c r="E271" s="476"/>
      <c r="F271" s="476">
        <v>3</v>
      </c>
      <c r="G271" s="476"/>
    </row>
    <row r="272" spans="1:7" ht="30" customHeight="1" x14ac:dyDescent="0.3">
      <c r="A272" s="508" t="s">
        <v>393</v>
      </c>
      <c r="B272" s="508"/>
      <c r="C272" s="508"/>
      <c r="D272" s="509">
        <v>12</v>
      </c>
      <c r="E272" s="509"/>
      <c r="F272" s="460">
        <v>180000</v>
      </c>
      <c r="G272" s="460"/>
    </row>
    <row r="273" spans="1:7" ht="36.75" customHeight="1" x14ac:dyDescent="0.3">
      <c r="A273" s="508" t="s">
        <v>394</v>
      </c>
      <c r="B273" s="508"/>
      <c r="C273" s="508"/>
      <c r="D273" s="509">
        <v>12</v>
      </c>
      <c r="E273" s="509"/>
      <c r="F273" s="460">
        <v>50000</v>
      </c>
      <c r="G273" s="460"/>
    </row>
    <row r="274" spans="1:7" ht="18" x14ac:dyDescent="0.3">
      <c r="A274" s="508" t="s">
        <v>395</v>
      </c>
      <c r="B274" s="508"/>
      <c r="C274" s="508"/>
      <c r="D274" s="509">
        <v>2</v>
      </c>
      <c r="E274" s="509"/>
      <c r="F274" s="460">
        <v>15000</v>
      </c>
      <c r="G274" s="460"/>
    </row>
    <row r="275" spans="1:7" ht="18" x14ac:dyDescent="0.3">
      <c r="A275" s="508" t="s">
        <v>396</v>
      </c>
      <c r="B275" s="508"/>
      <c r="C275" s="508"/>
      <c r="D275" s="509">
        <v>4</v>
      </c>
      <c r="E275" s="509"/>
      <c r="F275" s="460">
        <v>1680000</v>
      </c>
      <c r="G275" s="460"/>
    </row>
    <row r="276" spans="1:7" ht="18" x14ac:dyDescent="0.3">
      <c r="A276" s="508" t="s">
        <v>135</v>
      </c>
      <c r="B276" s="508"/>
      <c r="C276" s="508"/>
      <c r="D276" s="509">
        <v>2</v>
      </c>
      <c r="E276" s="509"/>
      <c r="F276" s="460">
        <v>30000</v>
      </c>
      <c r="G276" s="460"/>
    </row>
    <row r="277" spans="1:7" ht="18" x14ac:dyDescent="0.3">
      <c r="A277" s="508" t="s">
        <v>397</v>
      </c>
      <c r="B277" s="508"/>
      <c r="C277" s="508"/>
      <c r="D277" s="509">
        <v>1</v>
      </c>
      <c r="E277" s="509"/>
      <c r="F277" s="460">
        <v>27000</v>
      </c>
      <c r="G277" s="460"/>
    </row>
    <row r="278" spans="1:7" ht="19.5" customHeight="1" x14ac:dyDescent="0.3">
      <c r="A278" s="508" t="s">
        <v>398</v>
      </c>
      <c r="B278" s="508"/>
      <c r="C278" s="508"/>
      <c r="D278" s="509">
        <v>1</v>
      </c>
      <c r="E278" s="509"/>
      <c r="F278" s="460">
        <v>18000</v>
      </c>
      <c r="G278" s="460"/>
    </row>
    <row r="279" spans="1:7" ht="18" x14ac:dyDescent="0.3">
      <c r="A279" s="411" t="s">
        <v>361</v>
      </c>
      <c r="B279" s="411"/>
      <c r="C279" s="411"/>
      <c r="D279" s="474"/>
      <c r="E279" s="474"/>
      <c r="F279" s="510">
        <f>'платные на 2023-2024 год'!G56</f>
        <v>2000000</v>
      </c>
      <c r="G279" s="510"/>
    </row>
    <row r="280" spans="1:7" ht="18" x14ac:dyDescent="0.3">
      <c r="A280" s="27"/>
    </row>
    <row r="281" spans="1:7" ht="18" x14ac:dyDescent="0.3">
      <c r="A281" s="27"/>
    </row>
    <row r="282" spans="1:7" ht="18" x14ac:dyDescent="0.3">
      <c r="A282" s="27"/>
    </row>
    <row r="283" spans="1:7" ht="18" x14ac:dyDescent="0.3">
      <c r="A283" s="27"/>
    </row>
    <row r="284" spans="1:7" ht="18" x14ac:dyDescent="0.3">
      <c r="A284" s="27"/>
    </row>
    <row r="285" spans="1:7" ht="18" x14ac:dyDescent="0.3">
      <c r="A285" s="27"/>
    </row>
    <row r="286" spans="1:7" ht="18" x14ac:dyDescent="0.3">
      <c r="A286" s="27"/>
    </row>
    <row r="287" spans="1:7" ht="18" x14ac:dyDescent="0.3">
      <c r="A287" s="27"/>
    </row>
    <row r="288" spans="1:7" ht="18" x14ac:dyDescent="0.3">
      <c r="A288" s="27"/>
    </row>
    <row r="289" spans="1:7" ht="18" x14ac:dyDescent="0.3">
      <c r="A289" s="27"/>
    </row>
    <row r="290" spans="1:7" ht="18" x14ac:dyDescent="0.3">
      <c r="A290" s="27"/>
    </row>
    <row r="291" spans="1:7" ht="18" x14ac:dyDescent="0.3">
      <c r="A291" s="27"/>
    </row>
    <row r="292" spans="1:7" ht="18" x14ac:dyDescent="0.3">
      <c r="A292" s="27"/>
    </row>
    <row r="293" spans="1:7" ht="18" x14ac:dyDescent="0.3">
      <c r="A293" s="27"/>
    </row>
    <row r="294" spans="1:7" ht="18" x14ac:dyDescent="0.3">
      <c r="A294" s="27"/>
    </row>
    <row r="295" spans="1:7" ht="18" x14ac:dyDescent="0.3">
      <c r="A295" s="27"/>
    </row>
    <row r="296" spans="1:7" ht="18" x14ac:dyDescent="0.3">
      <c r="A296" s="27"/>
    </row>
    <row r="297" spans="1:7" ht="17.399999999999999" x14ac:dyDescent="0.3">
      <c r="A297" s="415" t="s">
        <v>220</v>
      </c>
      <c r="B297" s="415"/>
      <c r="C297" s="415"/>
      <c r="D297" s="415"/>
      <c r="E297" s="415"/>
      <c r="F297" s="415"/>
      <c r="G297" s="415"/>
    </row>
    <row r="298" spans="1:7" ht="18" x14ac:dyDescent="0.3">
      <c r="A298" s="7"/>
    </row>
    <row r="299" spans="1:7" ht="18" x14ac:dyDescent="0.35">
      <c r="A299" s="7" t="s">
        <v>144</v>
      </c>
      <c r="B299" s="8">
        <v>244</v>
      </c>
    </row>
    <row r="300" spans="1:7" ht="17.399999999999999" x14ac:dyDescent="0.3">
      <c r="A300" s="6"/>
    </row>
    <row r="301" spans="1:7" ht="36" x14ac:dyDescent="0.3">
      <c r="A301" s="408" t="s">
        <v>85</v>
      </c>
      <c r="B301" s="409"/>
      <c r="C301" s="409"/>
      <c r="D301" s="410"/>
      <c r="E301" s="156" t="s">
        <v>136</v>
      </c>
      <c r="F301" s="416" t="s">
        <v>137</v>
      </c>
      <c r="G301" s="416"/>
    </row>
    <row r="302" spans="1:7" ht="18" x14ac:dyDescent="0.35">
      <c r="A302" s="408">
        <v>1</v>
      </c>
      <c r="B302" s="409"/>
      <c r="C302" s="409"/>
      <c r="D302" s="410"/>
      <c r="E302" s="158">
        <v>2</v>
      </c>
      <c r="F302" s="422">
        <v>3</v>
      </c>
      <c r="G302" s="423"/>
    </row>
    <row r="303" spans="1:7" ht="18" x14ac:dyDescent="0.3">
      <c r="A303" s="599" t="s">
        <v>400</v>
      </c>
      <c r="B303" s="600"/>
      <c r="C303" s="600"/>
      <c r="D303" s="601"/>
      <c r="E303" s="170">
        <v>1</v>
      </c>
      <c r="F303" s="461">
        <v>2106057</v>
      </c>
      <c r="G303" s="461"/>
    </row>
    <row r="304" spans="1:7" ht="51.75" customHeight="1" x14ac:dyDescent="0.3">
      <c r="A304" s="599" t="s">
        <v>401</v>
      </c>
      <c r="B304" s="600"/>
      <c r="C304" s="600"/>
      <c r="D304" s="601"/>
      <c r="E304" s="170">
        <v>35</v>
      </c>
      <c r="F304" s="461">
        <v>1625000</v>
      </c>
      <c r="G304" s="461"/>
    </row>
    <row r="305" spans="1:7" ht="18" x14ac:dyDescent="0.3">
      <c r="A305" s="458" t="s">
        <v>402</v>
      </c>
      <c r="B305" s="602"/>
      <c r="C305" s="602"/>
      <c r="D305" s="459"/>
      <c r="E305" s="170">
        <v>1</v>
      </c>
      <c r="F305" s="461">
        <v>25000</v>
      </c>
      <c r="G305" s="461"/>
    </row>
    <row r="306" spans="1:7" ht="18" x14ac:dyDescent="0.3">
      <c r="A306" s="458" t="s">
        <v>403</v>
      </c>
      <c r="B306" s="602"/>
      <c r="C306" s="602"/>
      <c r="D306" s="459"/>
      <c r="E306" s="170">
        <v>1</v>
      </c>
      <c r="F306" s="461">
        <v>350000</v>
      </c>
      <c r="G306" s="461"/>
    </row>
    <row r="307" spans="1:7" ht="18" x14ac:dyDescent="0.3">
      <c r="A307" s="458" t="s">
        <v>404</v>
      </c>
      <c r="B307" s="602"/>
      <c r="C307" s="602"/>
      <c r="D307" s="459"/>
      <c r="E307" s="170">
        <v>1</v>
      </c>
      <c r="F307" s="461">
        <v>30000</v>
      </c>
      <c r="G307" s="461"/>
    </row>
    <row r="308" spans="1:7" ht="18" x14ac:dyDescent="0.3">
      <c r="A308" s="458" t="s">
        <v>405</v>
      </c>
      <c r="B308" s="602"/>
      <c r="C308" s="602"/>
      <c r="D308" s="459"/>
      <c r="E308" s="170">
        <v>1</v>
      </c>
      <c r="F308" s="461">
        <v>55000</v>
      </c>
      <c r="G308" s="461"/>
    </row>
    <row r="309" spans="1:7" ht="33.75" customHeight="1" x14ac:dyDescent="0.3">
      <c r="A309" s="599" t="s">
        <v>406</v>
      </c>
      <c r="B309" s="600"/>
      <c r="C309" s="600"/>
      <c r="D309" s="601"/>
      <c r="E309" s="170">
        <v>2</v>
      </c>
      <c r="F309" s="461">
        <v>90000</v>
      </c>
      <c r="G309" s="461"/>
    </row>
    <row r="310" spans="1:7" ht="18" x14ac:dyDescent="0.3">
      <c r="A310" s="458" t="s">
        <v>407</v>
      </c>
      <c r="B310" s="602"/>
      <c r="C310" s="602"/>
      <c r="D310" s="459"/>
      <c r="E310" s="170">
        <v>1</v>
      </c>
      <c r="F310" s="461">
        <v>40000</v>
      </c>
      <c r="G310" s="461"/>
    </row>
    <row r="311" spans="1:7" ht="18" x14ac:dyDescent="0.3">
      <c r="A311" s="458" t="s">
        <v>408</v>
      </c>
      <c r="B311" s="602"/>
      <c r="C311" s="602"/>
      <c r="D311" s="459"/>
      <c r="E311" s="170">
        <v>1</v>
      </c>
      <c r="F311" s="461">
        <v>100000</v>
      </c>
      <c r="G311" s="461"/>
    </row>
    <row r="312" spans="1:7" ht="18" x14ac:dyDescent="0.3">
      <c r="A312" s="458" t="s">
        <v>409</v>
      </c>
      <c r="B312" s="602"/>
      <c r="C312" s="602"/>
      <c r="D312" s="459"/>
      <c r="E312" s="171">
        <v>1</v>
      </c>
      <c r="F312" s="460">
        <v>80000</v>
      </c>
      <c r="G312" s="460"/>
    </row>
    <row r="313" spans="1:7" ht="18" x14ac:dyDescent="0.3">
      <c r="A313" s="458" t="s">
        <v>139</v>
      </c>
      <c r="B313" s="602"/>
      <c r="C313" s="602"/>
      <c r="D313" s="459"/>
      <c r="E313" s="171">
        <v>1</v>
      </c>
      <c r="F313" s="460">
        <v>50000</v>
      </c>
      <c r="G313" s="460"/>
    </row>
    <row r="314" spans="1:7" ht="18" x14ac:dyDescent="0.3">
      <c r="A314" s="458" t="s">
        <v>140</v>
      </c>
      <c r="B314" s="602"/>
      <c r="C314" s="602"/>
      <c r="D314" s="459"/>
      <c r="E314" s="171">
        <v>1</v>
      </c>
      <c r="F314" s="460">
        <v>45000</v>
      </c>
      <c r="G314" s="460"/>
    </row>
    <row r="315" spans="1:7" ht="18" x14ac:dyDescent="0.3">
      <c r="A315" s="458" t="s">
        <v>366</v>
      </c>
      <c r="B315" s="602"/>
      <c r="C315" s="602"/>
      <c r="D315" s="459"/>
      <c r="E315" s="171">
        <v>3</v>
      </c>
      <c r="F315" s="460">
        <v>25000</v>
      </c>
      <c r="G315" s="460"/>
    </row>
    <row r="316" spans="1:7" ht="18" x14ac:dyDescent="0.3">
      <c r="A316" s="412" t="s">
        <v>361</v>
      </c>
      <c r="B316" s="413"/>
      <c r="C316" s="413"/>
      <c r="D316" s="413"/>
      <c r="E316" s="201"/>
      <c r="F316" s="420">
        <f>'платные на 2023-2024 год'!G62</f>
        <v>4621057</v>
      </c>
      <c r="G316" s="421"/>
    </row>
    <row r="317" spans="1:7" ht="18" x14ac:dyDescent="0.3">
      <c r="A317" s="26"/>
      <c r="B317" s="26"/>
      <c r="C317" s="26"/>
      <c r="D317" s="26"/>
      <c r="E317" s="304"/>
      <c r="F317" s="228"/>
      <c r="G317" s="228"/>
    </row>
    <row r="318" spans="1:7" ht="18" hidden="1" x14ac:dyDescent="0.3">
      <c r="A318" s="26"/>
      <c r="B318" s="26"/>
      <c r="C318" s="26"/>
      <c r="D318" s="26"/>
      <c r="E318" s="304"/>
      <c r="F318" s="228"/>
      <c r="G318" s="228"/>
    </row>
    <row r="319" spans="1:7" ht="18" hidden="1" x14ac:dyDescent="0.3">
      <c r="A319" s="26"/>
      <c r="B319" s="26"/>
      <c r="C319" s="26"/>
      <c r="D319" s="26"/>
      <c r="E319" s="304"/>
      <c r="F319" s="228"/>
      <c r="G319" s="228"/>
    </row>
    <row r="320" spans="1:7" ht="18" hidden="1" x14ac:dyDescent="0.3">
      <c r="A320" s="26"/>
      <c r="B320" s="26"/>
      <c r="C320" s="26"/>
      <c r="D320" s="26"/>
      <c r="E320" s="304"/>
      <c r="F320" s="228"/>
      <c r="G320" s="228"/>
    </row>
    <row r="321" spans="1:7" ht="17.399999999999999" x14ac:dyDescent="0.3">
      <c r="A321" s="415" t="s">
        <v>221</v>
      </c>
      <c r="B321" s="415"/>
      <c r="C321" s="415"/>
      <c r="D321" s="415"/>
      <c r="E321" s="415"/>
      <c r="F321" s="415"/>
      <c r="G321" s="415"/>
    </row>
    <row r="322" spans="1:7" ht="18" x14ac:dyDescent="0.3">
      <c r="A322" s="7"/>
    </row>
    <row r="323" spans="1:7" ht="18" x14ac:dyDescent="0.35">
      <c r="A323" s="7" t="s">
        <v>144</v>
      </c>
      <c r="B323" s="8">
        <v>244</v>
      </c>
    </row>
    <row r="324" spans="1:7" ht="17.399999999999999" x14ac:dyDescent="0.3">
      <c r="A324" s="6"/>
    </row>
    <row r="325" spans="1:7" ht="23.25" customHeight="1" x14ac:dyDescent="0.3">
      <c r="A325" s="408" t="s">
        <v>85</v>
      </c>
      <c r="B325" s="410"/>
      <c r="C325" s="408" t="s">
        <v>136</v>
      </c>
      <c r="D325" s="410"/>
      <c r="E325" s="408" t="s">
        <v>137</v>
      </c>
      <c r="F325" s="409"/>
      <c r="G325" s="410"/>
    </row>
    <row r="326" spans="1:7" ht="18" x14ac:dyDescent="0.35">
      <c r="A326" s="408">
        <v>1</v>
      </c>
      <c r="B326" s="410"/>
      <c r="C326" s="408">
        <v>2</v>
      </c>
      <c r="D326" s="410"/>
      <c r="E326" s="422">
        <v>3</v>
      </c>
      <c r="F326" s="450"/>
      <c r="G326" s="423"/>
    </row>
    <row r="327" spans="1:7" ht="18" x14ac:dyDescent="0.3">
      <c r="A327" s="412" t="s">
        <v>25</v>
      </c>
      <c r="B327" s="414"/>
      <c r="C327" s="408">
        <v>1</v>
      </c>
      <c r="D327" s="410"/>
      <c r="E327" s="420">
        <f>'платные на 2023-2024 год'!G63</f>
        <v>10000</v>
      </c>
      <c r="F327" s="593"/>
      <c r="G327" s="421"/>
    </row>
    <row r="328" spans="1:7" ht="15" x14ac:dyDescent="0.3">
      <c r="A328" s="21"/>
    </row>
    <row r="329" spans="1:7" ht="17.399999999999999" x14ac:dyDescent="0.3">
      <c r="A329" s="415" t="s">
        <v>223</v>
      </c>
      <c r="B329" s="415"/>
      <c r="C329" s="415"/>
      <c r="D329" s="415"/>
      <c r="E329" s="415"/>
      <c r="F329" s="415"/>
      <c r="G329" s="415"/>
    </row>
    <row r="330" spans="1:7" ht="18" x14ac:dyDescent="0.3">
      <c r="A330" s="7"/>
    </row>
    <row r="331" spans="1:7" ht="18" x14ac:dyDescent="0.35">
      <c r="A331" s="7" t="s">
        <v>144</v>
      </c>
      <c r="B331" s="8">
        <v>244</v>
      </c>
    </row>
    <row r="332" spans="1:7" ht="17.399999999999999" x14ac:dyDescent="0.3">
      <c r="A332" s="6"/>
    </row>
    <row r="333" spans="1:7" ht="26.25" customHeight="1" x14ac:dyDescent="0.3">
      <c r="A333" s="408" t="s">
        <v>85</v>
      </c>
      <c r="B333" s="410"/>
      <c r="C333" s="11" t="s">
        <v>141</v>
      </c>
      <c r="D333" s="416" t="s">
        <v>142</v>
      </c>
      <c r="E333" s="416"/>
      <c r="F333" s="416" t="s">
        <v>149</v>
      </c>
      <c r="G333" s="416"/>
    </row>
    <row r="334" spans="1:7" ht="18" x14ac:dyDescent="0.3">
      <c r="A334" s="408">
        <v>1</v>
      </c>
      <c r="B334" s="410"/>
      <c r="C334" s="116">
        <v>2</v>
      </c>
      <c r="D334" s="408">
        <v>3</v>
      </c>
      <c r="E334" s="410"/>
      <c r="F334" s="408">
        <v>4</v>
      </c>
      <c r="G334" s="410"/>
    </row>
    <row r="335" spans="1:7" ht="18" x14ac:dyDescent="0.3">
      <c r="A335" s="444" t="s">
        <v>410</v>
      </c>
      <c r="B335" s="444"/>
      <c r="C335" s="150">
        <v>10</v>
      </c>
      <c r="D335" s="461">
        <v>9300</v>
      </c>
      <c r="E335" s="461"/>
      <c r="F335" s="460">
        <f t="shared" ref="F335:F344" si="10">C335*D335</f>
        <v>93000</v>
      </c>
      <c r="G335" s="460"/>
    </row>
    <row r="336" spans="1:7" ht="18" x14ac:dyDescent="0.3">
      <c r="A336" s="444" t="s">
        <v>411</v>
      </c>
      <c r="B336" s="444"/>
      <c r="C336" s="150">
        <v>6</v>
      </c>
      <c r="D336" s="461">
        <v>70000</v>
      </c>
      <c r="E336" s="461"/>
      <c r="F336" s="460">
        <f t="shared" si="10"/>
        <v>420000</v>
      </c>
      <c r="G336" s="460"/>
    </row>
    <row r="337" spans="1:7" ht="18" x14ac:dyDescent="0.3">
      <c r="A337" s="444" t="s">
        <v>412</v>
      </c>
      <c r="B337" s="444"/>
      <c r="C337" s="150">
        <v>20</v>
      </c>
      <c r="D337" s="461">
        <v>20000</v>
      </c>
      <c r="E337" s="461"/>
      <c r="F337" s="460">
        <f>C337*D337</f>
        <v>400000</v>
      </c>
      <c r="G337" s="460"/>
    </row>
    <row r="338" spans="1:7" ht="18" x14ac:dyDescent="0.3">
      <c r="A338" s="444" t="s">
        <v>413</v>
      </c>
      <c r="B338" s="444"/>
      <c r="C338" s="150">
        <v>3</v>
      </c>
      <c r="D338" s="461">
        <v>10000</v>
      </c>
      <c r="E338" s="461"/>
      <c r="F338" s="460">
        <f t="shared" si="10"/>
        <v>30000</v>
      </c>
      <c r="G338" s="460"/>
    </row>
    <row r="339" spans="1:7" ht="18" x14ac:dyDescent="0.3">
      <c r="A339" s="444" t="s">
        <v>414</v>
      </c>
      <c r="B339" s="444"/>
      <c r="C339" s="168">
        <v>5</v>
      </c>
      <c r="D339" s="460">
        <v>12000</v>
      </c>
      <c r="E339" s="460"/>
      <c r="F339" s="460">
        <f t="shared" si="10"/>
        <v>60000</v>
      </c>
      <c r="G339" s="460"/>
    </row>
    <row r="340" spans="1:7" ht="18" x14ac:dyDescent="0.3">
      <c r="A340" s="444" t="s">
        <v>415</v>
      </c>
      <c r="B340" s="444"/>
      <c r="C340" s="168">
        <v>10</v>
      </c>
      <c r="D340" s="460">
        <v>40000</v>
      </c>
      <c r="E340" s="460"/>
      <c r="F340" s="460">
        <f t="shared" si="10"/>
        <v>400000</v>
      </c>
      <c r="G340" s="460"/>
    </row>
    <row r="341" spans="1:7" ht="18" x14ac:dyDescent="0.3">
      <c r="A341" s="444" t="s">
        <v>416</v>
      </c>
      <c r="B341" s="444"/>
      <c r="C341" s="168">
        <v>3</v>
      </c>
      <c r="D341" s="460">
        <v>10000</v>
      </c>
      <c r="E341" s="460"/>
      <c r="F341" s="460">
        <f t="shared" si="10"/>
        <v>30000</v>
      </c>
      <c r="G341" s="460"/>
    </row>
    <row r="342" spans="1:7" ht="18" x14ac:dyDescent="0.3">
      <c r="A342" s="444" t="s">
        <v>417</v>
      </c>
      <c r="B342" s="444"/>
      <c r="C342" s="168">
        <v>5</v>
      </c>
      <c r="D342" s="460">
        <v>3000</v>
      </c>
      <c r="E342" s="460"/>
      <c r="F342" s="460">
        <f t="shared" si="10"/>
        <v>15000</v>
      </c>
      <c r="G342" s="460"/>
    </row>
    <row r="343" spans="1:7" ht="18" x14ac:dyDescent="0.3">
      <c r="A343" s="444" t="s">
        <v>418</v>
      </c>
      <c r="B343" s="444"/>
      <c r="C343" s="168">
        <v>2</v>
      </c>
      <c r="D343" s="460">
        <v>4000</v>
      </c>
      <c r="E343" s="460"/>
      <c r="F343" s="460">
        <f t="shared" si="10"/>
        <v>8000</v>
      </c>
      <c r="G343" s="460"/>
    </row>
    <row r="344" spans="1:7" ht="18" x14ac:dyDescent="0.3">
      <c r="A344" s="592" t="s">
        <v>419</v>
      </c>
      <c r="B344" s="592"/>
      <c r="C344" s="168">
        <v>8</v>
      </c>
      <c r="D344" s="460">
        <v>5500</v>
      </c>
      <c r="E344" s="460"/>
      <c r="F344" s="460">
        <f t="shared" si="10"/>
        <v>44000</v>
      </c>
      <c r="G344" s="460"/>
    </row>
    <row r="345" spans="1:7" ht="18" x14ac:dyDescent="0.3">
      <c r="A345" s="412" t="s">
        <v>361</v>
      </c>
      <c r="B345" s="413"/>
      <c r="C345" s="165"/>
      <c r="D345" s="408"/>
      <c r="E345" s="410"/>
      <c r="F345" s="452">
        <f>'платные на 2023-2024 год'!G94</f>
        <v>1500000</v>
      </c>
      <c r="G345" s="453"/>
    </row>
    <row r="346" spans="1:7" ht="17.399999999999999" x14ac:dyDescent="0.3">
      <c r="A346" s="6"/>
    </row>
    <row r="347" spans="1:7" ht="17.399999999999999" x14ac:dyDescent="0.3">
      <c r="A347" s="6"/>
    </row>
    <row r="348" spans="1:7" ht="17.399999999999999" x14ac:dyDescent="0.3">
      <c r="A348" s="6"/>
    </row>
    <row r="349" spans="1:7" ht="17.399999999999999" x14ac:dyDescent="0.3">
      <c r="A349" s="6"/>
    </row>
    <row r="350" spans="1:7" ht="17.399999999999999" x14ac:dyDescent="0.3">
      <c r="A350" s="6"/>
    </row>
    <row r="351" spans="1:7" ht="17.399999999999999" x14ac:dyDescent="0.3">
      <c r="A351" s="6"/>
    </row>
    <row r="352" spans="1:7" ht="17.399999999999999" x14ac:dyDescent="0.3">
      <c r="A352" s="6"/>
    </row>
    <row r="353" spans="1:7" ht="17.399999999999999" x14ac:dyDescent="0.3">
      <c r="A353" s="6"/>
    </row>
    <row r="354" spans="1:7" ht="17.399999999999999" x14ac:dyDescent="0.3">
      <c r="A354" s="6"/>
    </row>
    <row r="355" spans="1:7" ht="17.399999999999999" x14ac:dyDescent="0.3">
      <c r="A355" s="6"/>
    </row>
    <row r="356" spans="1:7" ht="17.399999999999999" x14ac:dyDescent="0.3">
      <c r="A356" s="424" t="s">
        <v>250</v>
      </c>
      <c r="B356" s="424"/>
      <c r="C356" s="424"/>
      <c r="D356" s="424"/>
      <c r="E356" s="424"/>
      <c r="F356" s="424"/>
      <c r="G356" s="424"/>
    </row>
    <row r="357" spans="1:7" ht="18" x14ac:dyDescent="0.3">
      <c r="A357" s="7"/>
    </row>
    <row r="358" spans="1:7" ht="18" x14ac:dyDescent="0.35">
      <c r="A358" s="7" t="s">
        <v>144</v>
      </c>
      <c r="B358" s="8">
        <v>244</v>
      </c>
    </row>
    <row r="359" spans="1:7" ht="17.399999999999999" x14ac:dyDescent="0.3">
      <c r="A359" s="6"/>
    </row>
    <row r="360" spans="1:7" ht="18" x14ac:dyDescent="0.3">
      <c r="A360" s="408" t="s">
        <v>85</v>
      </c>
      <c r="B360" s="410"/>
      <c r="C360" s="115" t="s">
        <v>141</v>
      </c>
      <c r="D360" s="416" t="s">
        <v>142</v>
      </c>
      <c r="E360" s="416"/>
      <c r="F360" s="416" t="s">
        <v>149</v>
      </c>
      <c r="G360" s="416"/>
    </row>
    <row r="361" spans="1:7" ht="18" x14ac:dyDescent="0.3">
      <c r="A361" s="408">
        <v>1</v>
      </c>
      <c r="B361" s="410"/>
      <c r="C361" s="116">
        <v>2</v>
      </c>
      <c r="D361" s="408">
        <v>3</v>
      </c>
      <c r="E361" s="410"/>
      <c r="F361" s="408">
        <v>4</v>
      </c>
      <c r="G361" s="410"/>
    </row>
    <row r="362" spans="1:7" ht="18" x14ac:dyDescent="0.3">
      <c r="A362" s="412" t="s">
        <v>420</v>
      </c>
      <c r="B362" s="414"/>
      <c r="C362" s="115">
        <v>12</v>
      </c>
      <c r="D362" s="417">
        <v>50000</v>
      </c>
      <c r="E362" s="417"/>
      <c r="F362" s="417">
        <f>C362*D362</f>
        <v>600000</v>
      </c>
      <c r="G362" s="417"/>
    </row>
    <row r="363" spans="1:7" ht="18" x14ac:dyDescent="0.3">
      <c r="A363" s="412" t="s">
        <v>238</v>
      </c>
      <c r="B363" s="413"/>
      <c r="C363" s="167"/>
      <c r="D363" s="559"/>
      <c r="E363" s="560"/>
      <c r="F363" s="561">
        <f>'платные на 2023-2024 год'!G100</f>
        <v>600000</v>
      </c>
      <c r="G363" s="562"/>
    </row>
    <row r="364" spans="1:7" ht="18" x14ac:dyDescent="0.3">
      <c r="A364" s="548" t="s">
        <v>421</v>
      </c>
      <c r="B364" s="549"/>
      <c r="C364" s="172">
        <v>200</v>
      </c>
      <c r="D364" s="427">
        <v>1000</v>
      </c>
      <c r="E364" s="427"/>
      <c r="F364" s="516">
        <f>C364*D364</f>
        <v>200000</v>
      </c>
      <c r="G364" s="516"/>
    </row>
    <row r="365" spans="1:7" ht="18" x14ac:dyDescent="0.3">
      <c r="A365" s="412" t="s">
        <v>239</v>
      </c>
      <c r="B365" s="413"/>
      <c r="C365" s="167"/>
      <c r="D365" s="559"/>
      <c r="E365" s="560"/>
      <c r="F365" s="561">
        <f>'платные на 2023-2024 год'!G101</f>
        <v>200000</v>
      </c>
      <c r="G365" s="562"/>
    </row>
    <row r="366" spans="1:7" ht="18" x14ac:dyDescent="0.3">
      <c r="A366" s="548" t="s">
        <v>422</v>
      </c>
      <c r="B366" s="549"/>
      <c r="C366" s="172">
        <v>300</v>
      </c>
      <c r="D366" s="427">
        <v>500</v>
      </c>
      <c r="E366" s="427"/>
      <c r="F366" s="516">
        <f>C366*D366</f>
        <v>150000</v>
      </c>
      <c r="G366" s="516"/>
    </row>
    <row r="367" spans="1:7" ht="18" x14ac:dyDescent="0.3">
      <c r="A367" s="412" t="s">
        <v>240</v>
      </c>
      <c r="B367" s="413"/>
      <c r="C367" s="167"/>
      <c r="D367" s="559"/>
      <c r="E367" s="560"/>
      <c r="F367" s="561">
        <f>'платные на 2023-2024 год'!G102</f>
        <v>150000</v>
      </c>
      <c r="G367" s="562"/>
    </row>
    <row r="368" spans="1:7" ht="18" x14ac:dyDescent="0.3">
      <c r="A368" s="548" t="s">
        <v>423</v>
      </c>
      <c r="B368" s="549"/>
      <c r="C368" s="172">
        <v>5750</v>
      </c>
      <c r="D368" s="427">
        <v>400</v>
      </c>
      <c r="E368" s="427"/>
      <c r="F368" s="516">
        <f>C368*D368</f>
        <v>2300000</v>
      </c>
      <c r="G368" s="516"/>
    </row>
    <row r="369" spans="1:7" ht="18" x14ac:dyDescent="0.3">
      <c r="A369" s="412" t="s">
        <v>241</v>
      </c>
      <c r="B369" s="413"/>
      <c r="C369" s="167"/>
      <c r="D369" s="559"/>
      <c r="E369" s="560"/>
      <c r="F369" s="561">
        <f>'платные на 2023-2024 год'!G103</f>
        <v>2300000</v>
      </c>
      <c r="G369" s="562"/>
    </row>
    <row r="370" spans="1:7" ht="18" x14ac:dyDescent="0.3">
      <c r="A370" s="548" t="s">
        <v>424</v>
      </c>
      <c r="B370" s="549"/>
      <c r="C370" s="172">
        <v>200</v>
      </c>
      <c r="D370" s="524">
        <v>1450</v>
      </c>
      <c r="E370" s="524"/>
      <c r="F370" s="516">
        <f>C370*D370</f>
        <v>290000</v>
      </c>
      <c r="G370" s="516"/>
    </row>
    <row r="371" spans="1:7" ht="18" x14ac:dyDescent="0.3">
      <c r="A371" s="412" t="s">
        <v>242</v>
      </c>
      <c r="B371" s="413"/>
      <c r="C371" s="167"/>
      <c r="D371" s="559"/>
      <c r="E371" s="560"/>
      <c r="F371" s="561">
        <f>'платные на 2023-2024 год'!G105</f>
        <v>290000</v>
      </c>
      <c r="G371" s="562"/>
    </row>
    <row r="372" spans="1:7" ht="18" x14ac:dyDescent="0.3">
      <c r="A372" s="13"/>
      <c r="B372" s="14"/>
      <c r="C372" s="14"/>
      <c r="D372" s="14"/>
      <c r="E372" s="14"/>
      <c r="F372" s="72"/>
      <c r="G372" s="72"/>
    </row>
    <row r="373" spans="1:7" ht="18" x14ac:dyDescent="0.35">
      <c r="A373" s="395" t="s">
        <v>150</v>
      </c>
      <c r="B373" s="395"/>
      <c r="C373" s="400"/>
      <c r="D373" s="400"/>
      <c r="E373" s="8"/>
      <c r="F373" s="400" t="s">
        <v>267</v>
      </c>
      <c r="G373" s="400"/>
    </row>
    <row r="374" spans="1:7" ht="18" x14ac:dyDescent="0.35">
      <c r="A374" s="27"/>
      <c r="B374" s="8"/>
      <c r="C374" s="401" t="s">
        <v>53</v>
      </c>
      <c r="D374" s="401"/>
      <c r="E374" s="8"/>
      <c r="F374" s="401" t="s">
        <v>54</v>
      </c>
      <c r="G374" s="401"/>
    </row>
    <row r="375" spans="1:7" ht="18" x14ac:dyDescent="0.35">
      <c r="A375" s="27"/>
      <c r="B375" s="8"/>
      <c r="C375" s="114"/>
      <c r="D375" s="114"/>
      <c r="E375" s="8"/>
      <c r="F375" s="95"/>
      <c r="G375" s="95"/>
    </row>
    <row r="376" spans="1:7" ht="18" x14ac:dyDescent="0.35">
      <c r="A376" s="395" t="s">
        <v>151</v>
      </c>
      <c r="B376" s="395"/>
      <c r="C376" s="400"/>
      <c r="D376" s="400"/>
      <c r="E376" s="8"/>
      <c r="F376" s="400" t="s">
        <v>464</v>
      </c>
      <c r="G376" s="400"/>
    </row>
    <row r="377" spans="1:7" ht="18" x14ac:dyDescent="0.35">
      <c r="A377" s="27"/>
      <c r="B377" s="8"/>
      <c r="C377" s="401" t="s">
        <v>53</v>
      </c>
      <c r="D377" s="401"/>
      <c r="E377" s="8"/>
      <c r="F377" s="401" t="s">
        <v>54</v>
      </c>
      <c r="G377" s="401"/>
    </row>
    <row r="378" spans="1:7" ht="18" x14ac:dyDescent="0.35">
      <c r="A378" s="27"/>
      <c r="B378" s="8"/>
      <c r="C378" s="114"/>
      <c r="D378" s="114"/>
      <c r="E378" s="8"/>
      <c r="F378" s="95"/>
      <c r="G378" s="95"/>
    </row>
    <row r="379" spans="1:7" ht="18" x14ac:dyDescent="0.35">
      <c r="A379" s="27" t="s">
        <v>152</v>
      </c>
      <c r="B379" s="8"/>
      <c r="C379" s="400"/>
      <c r="D379" s="400"/>
      <c r="E379" s="8"/>
      <c r="F379" s="400" t="s">
        <v>268</v>
      </c>
      <c r="G379" s="400"/>
    </row>
    <row r="380" spans="1:7" ht="18" x14ac:dyDescent="0.35">
      <c r="A380" s="27"/>
      <c r="B380" s="8"/>
      <c r="C380" s="401" t="s">
        <v>53</v>
      </c>
      <c r="D380" s="401"/>
      <c r="E380" s="8"/>
      <c r="F380" s="401" t="s">
        <v>54</v>
      </c>
      <c r="G380" s="401"/>
    </row>
    <row r="381" spans="1:7" ht="18" x14ac:dyDescent="0.35">
      <c r="A381" s="396" t="s">
        <v>428</v>
      </c>
      <c r="B381" s="396"/>
      <c r="C381" s="8"/>
      <c r="D381" s="8"/>
      <c r="E381" s="8"/>
      <c r="F381" s="8"/>
      <c r="G381" s="8"/>
    </row>
    <row r="382" spans="1:7" ht="18" x14ac:dyDescent="0.35">
      <c r="A382" s="396" t="s">
        <v>483</v>
      </c>
      <c r="B382" s="396"/>
      <c r="C382" s="8"/>
      <c r="D382" s="8"/>
      <c r="E382" s="8"/>
      <c r="F382" s="8"/>
      <c r="G382" s="8"/>
    </row>
  </sheetData>
  <mergeCells count="370">
    <mergeCell ref="A382:B382"/>
    <mergeCell ref="C377:D377"/>
    <mergeCell ref="F377:G377"/>
    <mergeCell ref="C379:D379"/>
    <mergeCell ref="F379:G379"/>
    <mergeCell ref="C380:D380"/>
    <mergeCell ref="F380:G380"/>
    <mergeCell ref="C373:D373"/>
    <mergeCell ref="F373:G373"/>
    <mergeCell ref="C374:D374"/>
    <mergeCell ref="F374:G374"/>
    <mergeCell ref="C376:D376"/>
    <mergeCell ref="F376:G376"/>
    <mergeCell ref="A373:B373"/>
    <mergeCell ref="A376:B376"/>
    <mergeCell ref="A381:B381"/>
    <mergeCell ref="A307:D307"/>
    <mergeCell ref="A308:D308"/>
    <mergeCell ref="A309:D309"/>
    <mergeCell ref="A371:B371"/>
    <mergeCell ref="D367:E367"/>
    <mergeCell ref="F367:G367"/>
    <mergeCell ref="D364:E364"/>
    <mergeCell ref="F364:G364"/>
    <mergeCell ref="A356:G356"/>
    <mergeCell ref="D360:E360"/>
    <mergeCell ref="F360:G360"/>
    <mergeCell ref="D361:E361"/>
    <mergeCell ref="F361:G361"/>
    <mergeCell ref="D363:E363"/>
    <mergeCell ref="F363:G363"/>
    <mergeCell ref="D366:E366"/>
    <mergeCell ref="D345:E345"/>
    <mergeCell ref="F345:G345"/>
    <mergeCell ref="F341:G341"/>
    <mergeCell ref="A342:B342"/>
    <mergeCell ref="D370:E370"/>
    <mergeCell ref="F370:G370"/>
    <mergeCell ref="D371:E371"/>
    <mergeCell ref="F371:G371"/>
    <mergeCell ref="D368:E368"/>
    <mergeCell ref="F368:G368"/>
    <mergeCell ref="D369:E369"/>
    <mergeCell ref="F369:G369"/>
    <mergeCell ref="A329:G329"/>
    <mergeCell ref="D333:E333"/>
    <mergeCell ref="F333:G333"/>
    <mergeCell ref="D334:E334"/>
    <mergeCell ref="F334:G334"/>
    <mergeCell ref="A339:B339"/>
    <mergeCell ref="D339:E339"/>
    <mergeCell ref="F339:G339"/>
    <mergeCell ref="A340:B340"/>
    <mergeCell ref="D340:E340"/>
    <mergeCell ref="F340:G340"/>
    <mergeCell ref="A335:B335"/>
    <mergeCell ref="A336:B336"/>
    <mergeCell ref="A337:B337"/>
    <mergeCell ref="D342:E342"/>
    <mergeCell ref="F342:G342"/>
    <mergeCell ref="A343:B343"/>
    <mergeCell ref="D343:E343"/>
    <mergeCell ref="F343:G343"/>
    <mergeCell ref="A344:B344"/>
    <mergeCell ref="A310:D310"/>
    <mergeCell ref="A311:D311"/>
    <mergeCell ref="A312:D312"/>
    <mergeCell ref="A313:D313"/>
    <mergeCell ref="A314:D314"/>
    <mergeCell ref="A315:D315"/>
    <mergeCell ref="A316:D316"/>
    <mergeCell ref="F311:G311"/>
    <mergeCell ref="F312:G312"/>
    <mergeCell ref="F313:G313"/>
    <mergeCell ref="F314:G314"/>
    <mergeCell ref="F315:G315"/>
    <mergeCell ref="F316:G316"/>
    <mergeCell ref="A278:C278"/>
    <mergeCell ref="D278:E278"/>
    <mergeCell ref="F278:G278"/>
    <mergeCell ref="F305:G305"/>
    <mergeCell ref="F306:G306"/>
    <mergeCell ref="A279:C279"/>
    <mergeCell ref="D279:E279"/>
    <mergeCell ref="F279:G279"/>
    <mergeCell ref="F303:G303"/>
    <mergeCell ref="F304:G304"/>
    <mergeCell ref="A297:G297"/>
    <mergeCell ref="A301:D301"/>
    <mergeCell ref="A302:D302"/>
    <mergeCell ref="A303:D303"/>
    <mergeCell ref="A304:D304"/>
    <mergeCell ref="A305:D305"/>
    <mergeCell ref="A306:D306"/>
    <mergeCell ref="F301:G301"/>
    <mergeCell ref="F302:G302"/>
    <mergeCell ref="A275:C275"/>
    <mergeCell ref="D275:E275"/>
    <mergeCell ref="F275:G275"/>
    <mergeCell ref="A276:C276"/>
    <mergeCell ref="D276:E276"/>
    <mergeCell ref="F276:G276"/>
    <mergeCell ref="A277:C277"/>
    <mergeCell ref="D277:E277"/>
    <mergeCell ref="F277:G277"/>
    <mergeCell ref="A273:C273"/>
    <mergeCell ref="D273:E273"/>
    <mergeCell ref="F273:G273"/>
    <mergeCell ref="A270:C270"/>
    <mergeCell ref="D270:E270"/>
    <mergeCell ref="F270:G270"/>
    <mergeCell ref="A274:C274"/>
    <mergeCell ref="D274:E274"/>
    <mergeCell ref="F274:G274"/>
    <mergeCell ref="D272:E272"/>
    <mergeCell ref="F272:G272"/>
    <mergeCell ref="A272:C272"/>
    <mergeCell ref="A266:G266"/>
    <mergeCell ref="A271:C271"/>
    <mergeCell ref="D271:E271"/>
    <mergeCell ref="F271:G271"/>
    <mergeCell ref="D239:E239"/>
    <mergeCell ref="F239:G239"/>
    <mergeCell ref="A239:B239"/>
    <mergeCell ref="A252:B252"/>
    <mergeCell ref="D252:E252"/>
    <mergeCell ref="F252:G252"/>
    <mergeCell ref="A253:B253"/>
    <mergeCell ref="D253:E253"/>
    <mergeCell ref="F253:G253"/>
    <mergeCell ref="A254:B254"/>
    <mergeCell ref="D254:E254"/>
    <mergeCell ref="F254:G254"/>
    <mergeCell ref="A255:B255"/>
    <mergeCell ref="D255:E255"/>
    <mergeCell ref="F255:G255"/>
    <mergeCell ref="A256:B256"/>
    <mergeCell ref="D256:E256"/>
    <mergeCell ref="F256:G256"/>
    <mergeCell ref="A261:B261"/>
    <mergeCell ref="D261:E261"/>
    <mergeCell ref="D237:E237"/>
    <mergeCell ref="F237:G237"/>
    <mergeCell ref="D238:E238"/>
    <mergeCell ref="F238:G238"/>
    <mergeCell ref="A237:B237"/>
    <mergeCell ref="A238:B238"/>
    <mergeCell ref="A248:G248"/>
    <mergeCell ref="A260:B260"/>
    <mergeCell ref="D260:E260"/>
    <mergeCell ref="F260:G260"/>
    <mergeCell ref="F261:G261"/>
    <mergeCell ref="A262:B262"/>
    <mergeCell ref="D262:E262"/>
    <mergeCell ref="F262:G262"/>
    <mergeCell ref="A263:B263"/>
    <mergeCell ref="D263:E263"/>
    <mergeCell ref="F263:G263"/>
    <mergeCell ref="A264:B264"/>
    <mergeCell ref="D264:E264"/>
    <mergeCell ref="F264:G264"/>
    <mergeCell ref="A218:G218"/>
    <mergeCell ref="D225:E225"/>
    <mergeCell ref="F225:G225"/>
    <mergeCell ref="D231:E231"/>
    <mergeCell ref="F231:G231"/>
    <mergeCell ref="A220:G220"/>
    <mergeCell ref="D224:E224"/>
    <mergeCell ref="F224:G224"/>
    <mergeCell ref="A233:G233"/>
    <mergeCell ref="D230:E230"/>
    <mergeCell ref="F230:G230"/>
    <mergeCell ref="D228:E228"/>
    <mergeCell ref="F228:G228"/>
    <mergeCell ref="D229:E229"/>
    <mergeCell ref="F229:G229"/>
    <mergeCell ref="A231:B231"/>
    <mergeCell ref="D226:E226"/>
    <mergeCell ref="F226:G226"/>
    <mergeCell ref="D227:E227"/>
    <mergeCell ref="F227:G227"/>
    <mergeCell ref="A226:B226"/>
    <mergeCell ref="A227:B227"/>
    <mergeCell ref="A228:B228"/>
    <mergeCell ref="A229:B229"/>
    <mergeCell ref="B216:C216"/>
    <mergeCell ref="D216:E216"/>
    <mergeCell ref="F216:G216"/>
    <mergeCell ref="B214:C214"/>
    <mergeCell ref="D214:E214"/>
    <mergeCell ref="F214:G214"/>
    <mergeCell ref="B215:C215"/>
    <mergeCell ref="D215:E215"/>
    <mergeCell ref="F215:G215"/>
    <mergeCell ref="F208:G208"/>
    <mergeCell ref="F209:G210"/>
    <mergeCell ref="A204:G204"/>
    <mergeCell ref="B207:C207"/>
    <mergeCell ref="D207:E207"/>
    <mergeCell ref="F207:G207"/>
    <mergeCell ref="A209:A210"/>
    <mergeCell ref="B209:C209"/>
    <mergeCell ref="D209:E209"/>
    <mergeCell ref="B210:C210"/>
    <mergeCell ref="D210:E210"/>
    <mergeCell ref="B208:C208"/>
    <mergeCell ref="D208:E208"/>
    <mergeCell ref="A174:G174"/>
    <mergeCell ref="F178:G178"/>
    <mergeCell ref="F179:G179"/>
    <mergeCell ref="C182:E182"/>
    <mergeCell ref="F182:G182"/>
    <mergeCell ref="A180:B180"/>
    <mergeCell ref="D180:E180"/>
    <mergeCell ref="F180:G180"/>
    <mergeCell ref="A181:B181"/>
    <mergeCell ref="D181:E181"/>
    <mergeCell ref="F181:G181"/>
    <mergeCell ref="A178:B178"/>
    <mergeCell ref="A179:B179"/>
    <mergeCell ref="D178:E178"/>
    <mergeCell ref="D179:E179"/>
    <mergeCell ref="A182:B182"/>
    <mergeCell ref="A166:G166"/>
    <mergeCell ref="C170:D170"/>
    <mergeCell ref="F170:G170"/>
    <mergeCell ref="C171:D171"/>
    <mergeCell ref="F171:G171"/>
    <mergeCell ref="C172:D172"/>
    <mergeCell ref="F172:G172"/>
    <mergeCell ref="B161:C161"/>
    <mergeCell ref="D161:E161"/>
    <mergeCell ref="F161:G161"/>
    <mergeCell ref="B164:C164"/>
    <mergeCell ref="D164:E164"/>
    <mergeCell ref="F164:G164"/>
    <mergeCell ref="D162:E162"/>
    <mergeCell ref="F162:G162"/>
    <mergeCell ref="B162:C162"/>
    <mergeCell ref="D163:E163"/>
    <mergeCell ref="F163:G163"/>
    <mergeCell ref="B163:C163"/>
    <mergeCell ref="D48:F48"/>
    <mergeCell ref="A155:G155"/>
    <mergeCell ref="A159:A160"/>
    <mergeCell ref="B159:C160"/>
    <mergeCell ref="D159:E160"/>
    <mergeCell ref="F159:G160"/>
    <mergeCell ref="B29:C29"/>
    <mergeCell ref="D29:E29"/>
    <mergeCell ref="F29:G29"/>
    <mergeCell ref="A41:G41"/>
    <mergeCell ref="A43:G43"/>
    <mergeCell ref="A47:A49"/>
    <mergeCell ref="B47:B49"/>
    <mergeCell ref="C47:F47"/>
    <mergeCell ref="G47:G49"/>
    <mergeCell ref="C48:C49"/>
    <mergeCell ref="F30:G30"/>
    <mergeCell ref="D30:E30"/>
    <mergeCell ref="B30:C30"/>
    <mergeCell ref="C144:F144"/>
    <mergeCell ref="B28:C28"/>
    <mergeCell ref="D28:E28"/>
    <mergeCell ref="F28:G28"/>
    <mergeCell ref="A21:G21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A1:G1"/>
    <mergeCell ref="A2:G2"/>
    <mergeCell ref="A3:G3"/>
    <mergeCell ref="B7:C7"/>
    <mergeCell ref="D7:E7"/>
    <mergeCell ref="F7:G7"/>
    <mergeCell ref="B10:C10"/>
    <mergeCell ref="D10:E10"/>
    <mergeCell ref="F10:G10"/>
    <mergeCell ref="A13:G13"/>
    <mergeCell ref="B8:C8"/>
    <mergeCell ref="D8:E8"/>
    <mergeCell ref="F8:G8"/>
    <mergeCell ref="B9:C9"/>
    <mergeCell ref="D9:E9"/>
    <mergeCell ref="F9:G9"/>
    <mergeCell ref="D11:E11"/>
    <mergeCell ref="F11:G11"/>
    <mergeCell ref="B11:C11"/>
    <mergeCell ref="B19:C19"/>
    <mergeCell ref="D19:E19"/>
    <mergeCell ref="F19:G19"/>
    <mergeCell ref="B17:C17"/>
    <mergeCell ref="D17:E17"/>
    <mergeCell ref="F17:G17"/>
    <mergeCell ref="B18:C18"/>
    <mergeCell ref="D18:E18"/>
    <mergeCell ref="F18:G18"/>
    <mergeCell ref="F337:G337"/>
    <mergeCell ref="D335:E335"/>
    <mergeCell ref="F335:G335"/>
    <mergeCell ref="D336:E336"/>
    <mergeCell ref="F336:G336"/>
    <mergeCell ref="A321:G321"/>
    <mergeCell ref="A325:B325"/>
    <mergeCell ref="C325:D325"/>
    <mergeCell ref="A341:B341"/>
    <mergeCell ref="D341:E341"/>
    <mergeCell ref="E325:G325"/>
    <mergeCell ref="A326:B326"/>
    <mergeCell ref="C326:D326"/>
    <mergeCell ref="E326:G326"/>
    <mergeCell ref="A368:B368"/>
    <mergeCell ref="A370:B370"/>
    <mergeCell ref="A360:B360"/>
    <mergeCell ref="A363:B363"/>
    <mergeCell ref="A365:B365"/>
    <mergeCell ref="A367:B367"/>
    <mergeCell ref="A369:B369"/>
    <mergeCell ref="A361:B361"/>
    <mergeCell ref="A345:B345"/>
    <mergeCell ref="A362:B362"/>
    <mergeCell ref="A364:B364"/>
    <mergeCell ref="F366:G366"/>
    <mergeCell ref="A366:B366"/>
    <mergeCell ref="D365:E365"/>
    <mergeCell ref="F365:G365"/>
    <mergeCell ref="D362:E362"/>
    <mergeCell ref="F362:G362"/>
    <mergeCell ref="A230:B230"/>
    <mergeCell ref="A224:B224"/>
    <mergeCell ref="A225:B225"/>
    <mergeCell ref="D344:E344"/>
    <mergeCell ref="F307:G307"/>
    <mergeCell ref="F308:G308"/>
    <mergeCell ref="F309:G309"/>
    <mergeCell ref="F310:G310"/>
    <mergeCell ref="F344:G344"/>
    <mergeCell ref="A333:B333"/>
    <mergeCell ref="A334:B334"/>
    <mergeCell ref="D338:E338"/>
    <mergeCell ref="F338:G338"/>
    <mergeCell ref="A338:B338"/>
    <mergeCell ref="A327:B327"/>
    <mergeCell ref="C327:D327"/>
    <mergeCell ref="E327:G327"/>
    <mergeCell ref="D337:E337"/>
    <mergeCell ref="A184:G184"/>
    <mergeCell ref="C191:D191"/>
    <mergeCell ref="F191:G191"/>
    <mergeCell ref="C192:D192"/>
    <mergeCell ref="F192:G192"/>
    <mergeCell ref="A186:G186"/>
    <mergeCell ref="C190:D190"/>
    <mergeCell ref="F190:G190"/>
    <mergeCell ref="B202:C202"/>
    <mergeCell ref="D202:E202"/>
    <mergeCell ref="F202:G202"/>
    <mergeCell ref="A196:G196"/>
    <mergeCell ref="B200:C200"/>
    <mergeCell ref="D200:E200"/>
    <mergeCell ref="F200:G200"/>
    <mergeCell ref="B201:C201"/>
    <mergeCell ref="D201:E201"/>
    <mergeCell ref="F201:G201"/>
  </mergeCells>
  <pageMargins left="1.3779527559055118" right="0.39370078740157483" top="0.59055118110236227" bottom="0.59055118110236227" header="0.31496062992125984" footer="0.31496062992125984"/>
  <pageSetup paperSize="9" scale="69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02"/>
  <sheetViews>
    <sheetView view="pageLayout" topLeftCell="A42" zoomScaleNormal="100" workbookViewId="0">
      <selection activeCell="E22" sqref="E22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9" width="16.6640625" style="5" customWidth="1"/>
    <col min="10" max="11" width="8.88671875" style="5"/>
    <col min="12" max="12" width="12.33203125" style="5" bestFit="1" customWidth="1"/>
    <col min="13" max="14" width="8.88671875" style="5"/>
    <col min="15" max="15" width="12.33203125" style="5" bestFit="1" customWidth="1"/>
    <col min="16" max="16384" width="8.88671875" style="5"/>
  </cols>
  <sheetData>
    <row r="1" spans="1:9" ht="17.399999999999999" x14ac:dyDescent="0.3">
      <c r="A1" s="384" t="s">
        <v>259</v>
      </c>
      <c r="B1" s="384"/>
      <c r="C1" s="384"/>
      <c r="D1" s="384"/>
      <c r="E1" s="384"/>
      <c r="F1" s="384"/>
      <c r="G1" s="384"/>
      <c r="H1" s="384"/>
      <c r="I1" s="384"/>
    </row>
    <row r="2" spans="1:9" ht="17.399999999999999" x14ac:dyDescent="0.3">
      <c r="A2" s="384" t="s">
        <v>74</v>
      </c>
      <c r="B2" s="384"/>
      <c r="C2" s="384"/>
      <c r="D2" s="384"/>
      <c r="E2" s="384"/>
      <c r="F2" s="384"/>
      <c r="G2" s="384"/>
      <c r="H2" s="384"/>
      <c r="I2" s="384"/>
    </row>
    <row r="3" spans="1:9" ht="15" x14ac:dyDescent="0.3">
      <c r="A3" s="28"/>
    </row>
    <row r="4" spans="1:9" ht="18.600000000000001" thickBot="1" x14ac:dyDescent="0.35">
      <c r="A4" s="4"/>
      <c r="F4" s="4"/>
      <c r="I4" s="4" t="s">
        <v>51</v>
      </c>
    </row>
    <row r="5" spans="1:9" ht="18.600000000000001" customHeight="1" x14ac:dyDescent="0.3">
      <c r="A5" s="389" t="s">
        <v>0</v>
      </c>
      <c r="B5" s="382" t="s">
        <v>45</v>
      </c>
      <c r="C5" s="391" t="s">
        <v>46</v>
      </c>
      <c r="D5" s="382" t="s">
        <v>1</v>
      </c>
      <c r="E5" s="382" t="s">
        <v>73</v>
      </c>
      <c r="F5" s="382"/>
      <c r="G5" s="382" t="s">
        <v>1</v>
      </c>
      <c r="H5" s="382" t="s">
        <v>73</v>
      </c>
      <c r="I5" s="531"/>
    </row>
    <row r="6" spans="1:9" ht="125.4" thickBot="1" x14ac:dyDescent="0.35">
      <c r="A6" s="390"/>
      <c r="B6" s="383"/>
      <c r="C6" s="392"/>
      <c r="D6" s="383"/>
      <c r="E6" s="105" t="s">
        <v>3</v>
      </c>
      <c r="F6" s="105" t="s">
        <v>4</v>
      </c>
      <c r="G6" s="383"/>
      <c r="H6" s="105" t="s">
        <v>3</v>
      </c>
      <c r="I6" s="35" t="s">
        <v>4</v>
      </c>
    </row>
    <row r="7" spans="1:9" ht="18.600000000000001" thickBot="1" x14ac:dyDescent="0.35">
      <c r="A7" s="80">
        <v>1</v>
      </c>
      <c r="B7" s="81">
        <v>2</v>
      </c>
      <c r="C7" s="81">
        <v>3</v>
      </c>
      <c r="D7" s="81">
        <v>4</v>
      </c>
      <c r="E7" s="81">
        <v>5</v>
      </c>
      <c r="F7" s="81">
        <v>6</v>
      </c>
      <c r="G7" s="81">
        <v>7</v>
      </c>
      <c r="H7" s="81">
        <v>8</v>
      </c>
      <c r="I7" s="82">
        <v>9</v>
      </c>
    </row>
    <row r="8" spans="1:9" ht="54" x14ac:dyDescent="0.3">
      <c r="A8" s="36" t="s">
        <v>47</v>
      </c>
      <c r="B8" s="37" t="s">
        <v>5</v>
      </c>
      <c r="C8" s="37" t="s">
        <v>5</v>
      </c>
      <c r="D8" s="38">
        <f>E8+F8</f>
        <v>0</v>
      </c>
      <c r="E8" s="38"/>
      <c r="F8" s="38"/>
      <c r="G8" s="38">
        <f>H8+I8</f>
        <v>0</v>
      </c>
      <c r="H8" s="38"/>
      <c r="I8" s="39"/>
    </row>
    <row r="9" spans="1:9" ht="54" x14ac:dyDescent="0.3">
      <c r="A9" s="103" t="s">
        <v>48</v>
      </c>
      <c r="B9" s="107" t="s">
        <v>5</v>
      </c>
      <c r="C9" s="107" t="s">
        <v>5</v>
      </c>
      <c r="D9" s="3">
        <f t="shared" ref="D9:D72" si="0">E9+F9</f>
        <v>0</v>
      </c>
      <c r="E9" s="3">
        <f>E10+E8-E25+E98</f>
        <v>0</v>
      </c>
      <c r="F9" s="3">
        <f>F10+F8-F25+F98</f>
        <v>0</v>
      </c>
      <c r="G9" s="3">
        <f>H9+I9</f>
        <v>0</v>
      </c>
      <c r="H9" s="3">
        <f>H10+H8-H25+H98</f>
        <v>0</v>
      </c>
      <c r="I9" s="29">
        <f>I10+I8-I25+I98</f>
        <v>0</v>
      </c>
    </row>
    <row r="10" spans="1:9" ht="18" x14ac:dyDescent="0.3">
      <c r="A10" s="103" t="s">
        <v>49</v>
      </c>
      <c r="B10" s="107" t="s">
        <v>5</v>
      </c>
      <c r="C10" s="107" t="s">
        <v>5</v>
      </c>
      <c r="D10" s="1">
        <f>E10+F10</f>
        <v>0</v>
      </c>
      <c r="E10" s="1">
        <f>E12</f>
        <v>0</v>
      </c>
      <c r="F10" s="1">
        <f>F12</f>
        <v>0</v>
      </c>
      <c r="G10" s="1">
        <f>H10+I10</f>
        <v>0</v>
      </c>
      <c r="H10" s="1">
        <f>H12</f>
        <v>0</v>
      </c>
      <c r="I10" s="2">
        <f>I12</f>
        <v>0</v>
      </c>
    </row>
    <row r="11" spans="1:9" ht="18" x14ac:dyDescent="0.3">
      <c r="A11" s="103" t="s">
        <v>6</v>
      </c>
      <c r="B11" s="107"/>
      <c r="C11" s="107"/>
      <c r="D11" s="1"/>
      <c r="E11" s="1"/>
      <c r="F11" s="1"/>
      <c r="G11" s="1"/>
      <c r="H11" s="1"/>
      <c r="I11" s="2"/>
    </row>
    <row r="12" spans="1:9" ht="18" x14ac:dyDescent="0.3">
      <c r="A12" s="103" t="s">
        <v>62</v>
      </c>
      <c r="B12" s="107">
        <v>180</v>
      </c>
      <c r="C12" s="107" t="s">
        <v>5</v>
      </c>
      <c r="D12" s="1">
        <f t="shared" si="0"/>
        <v>0</v>
      </c>
      <c r="E12" s="1">
        <f>SUM(E13:E24)</f>
        <v>0</v>
      </c>
      <c r="F12" s="1">
        <f>SUM(F13:F24)</f>
        <v>0</v>
      </c>
      <c r="G12" s="1">
        <f t="shared" ref="G12:G25" si="1">H12+I12</f>
        <v>0</v>
      </c>
      <c r="H12" s="1">
        <f>SUM(H13:H24)</f>
        <v>0</v>
      </c>
      <c r="I12" s="2">
        <f>SUM(I13:I24)</f>
        <v>0</v>
      </c>
    </row>
    <row r="13" spans="1:9" ht="18" x14ac:dyDescent="0.3">
      <c r="A13" s="103" t="s">
        <v>6</v>
      </c>
      <c r="B13" s="107"/>
      <c r="C13" s="107"/>
      <c r="D13" s="1">
        <f t="shared" si="0"/>
        <v>0</v>
      </c>
      <c r="E13" s="1"/>
      <c r="F13" s="1"/>
      <c r="G13" s="1">
        <f t="shared" si="1"/>
        <v>0</v>
      </c>
      <c r="H13" s="1"/>
      <c r="I13" s="2"/>
    </row>
    <row r="14" spans="1:9" ht="18" x14ac:dyDescent="0.3">
      <c r="A14" s="103"/>
      <c r="B14" s="107"/>
      <c r="C14" s="107"/>
      <c r="D14" s="1">
        <f t="shared" si="0"/>
        <v>0</v>
      </c>
      <c r="E14" s="1"/>
      <c r="F14" s="1"/>
      <c r="G14" s="1">
        <f t="shared" si="1"/>
        <v>0</v>
      </c>
      <c r="H14" s="1"/>
      <c r="I14" s="2"/>
    </row>
    <row r="15" spans="1:9" ht="18" x14ac:dyDescent="0.3">
      <c r="A15" s="103"/>
      <c r="B15" s="107"/>
      <c r="C15" s="107"/>
      <c r="D15" s="1">
        <f t="shared" si="0"/>
        <v>0</v>
      </c>
      <c r="E15" s="1"/>
      <c r="F15" s="1"/>
      <c r="G15" s="1">
        <f t="shared" si="1"/>
        <v>0</v>
      </c>
      <c r="H15" s="1"/>
      <c r="I15" s="2"/>
    </row>
    <row r="16" spans="1:9" ht="18" x14ac:dyDescent="0.3">
      <c r="A16" s="103"/>
      <c r="B16" s="107"/>
      <c r="C16" s="107"/>
      <c r="D16" s="1">
        <f t="shared" si="0"/>
        <v>0</v>
      </c>
      <c r="E16" s="1"/>
      <c r="F16" s="1"/>
      <c r="G16" s="1">
        <f t="shared" si="1"/>
        <v>0</v>
      </c>
      <c r="H16" s="1"/>
      <c r="I16" s="2"/>
    </row>
    <row r="17" spans="1:9" ht="18" x14ac:dyDescent="0.3">
      <c r="A17" s="103"/>
      <c r="B17" s="107"/>
      <c r="C17" s="107"/>
      <c r="D17" s="1">
        <f t="shared" si="0"/>
        <v>0</v>
      </c>
      <c r="E17" s="1"/>
      <c r="F17" s="1"/>
      <c r="G17" s="1">
        <f t="shared" si="1"/>
        <v>0</v>
      </c>
      <c r="H17" s="1"/>
      <c r="I17" s="2"/>
    </row>
    <row r="18" spans="1:9" ht="18" x14ac:dyDescent="0.3">
      <c r="A18" s="103"/>
      <c r="B18" s="107"/>
      <c r="C18" s="107"/>
      <c r="D18" s="1">
        <f t="shared" si="0"/>
        <v>0</v>
      </c>
      <c r="E18" s="1"/>
      <c r="F18" s="1"/>
      <c r="G18" s="1">
        <f t="shared" si="1"/>
        <v>0</v>
      </c>
      <c r="H18" s="1"/>
      <c r="I18" s="2"/>
    </row>
    <row r="19" spans="1:9" ht="18" x14ac:dyDescent="0.3">
      <c r="A19" s="103"/>
      <c r="B19" s="107"/>
      <c r="C19" s="107"/>
      <c r="D19" s="1">
        <f t="shared" si="0"/>
        <v>0</v>
      </c>
      <c r="E19" s="1"/>
      <c r="F19" s="1"/>
      <c r="G19" s="1">
        <f t="shared" si="1"/>
        <v>0</v>
      </c>
      <c r="H19" s="1"/>
      <c r="I19" s="2"/>
    </row>
    <row r="20" spans="1:9" ht="18" x14ac:dyDescent="0.3">
      <c r="A20" s="103"/>
      <c r="B20" s="107"/>
      <c r="C20" s="107"/>
      <c r="D20" s="1">
        <f t="shared" si="0"/>
        <v>0</v>
      </c>
      <c r="E20" s="1"/>
      <c r="F20" s="1"/>
      <c r="G20" s="1">
        <f t="shared" si="1"/>
        <v>0</v>
      </c>
      <c r="H20" s="1"/>
      <c r="I20" s="2"/>
    </row>
    <row r="21" spans="1:9" ht="18" x14ac:dyDescent="0.3">
      <c r="A21" s="103"/>
      <c r="B21" s="107"/>
      <c r="C21" s="107"/>
      <c r="D21" s="1">
        <f t="shared" si="0"/>
        <v>0</v>
      </c>
      <c r="E21" s="1"/>
      <c r="F21" s="1"/>
      <c r="G21" s="1">
        <f t="shared" si="1"/>
        <v>0</v>
      </c>
      <c r="H21" s="1"/>
      <c r="I21" s="2"/>
    </row>
    <row r="22" spans="1:9" ht="18" x14ac:dyDescent="0.3">
      <c r="A22" s="103"/>
      <c r="B22" s="107"/>
      <c r="C22" s="107"/>
      <c r="D22" s="1">
        <f t="shared" si="0"/>
        <v>0</v>
      </c>
      <c r="E22" s="1"/>
      <c r="F22" s="1"/>
      <c r="G22" s="1">
        <f t="shared" si="1"/>
        <v>0</v>
      </c>
      <c r="H22" s="1"/>
      <c r="I22" s="2"/>
    </row>
    <row r="23" spans="1:9" ht="18" x14ac:dyDescent="0.3">
      <c r="A23" s="103"/>
      <c r="B23" s="107"/>
      <c r="C23" s="107"/>
      <c r="D23" s="1">
        <f t="shared" si="0"/>
        <v>0</v>
      </c>
      <c r="E23" s="1"/>
      <c r="F23" s="1"/>
      <c r="G23" s="1">
        <f t="shared" si="1"/>
        <v>0</v>
      </c>
      <c r="H23" s="1"/>
      <c r="I23" s="2"/>
    </row>
    <row r="24" spans="1:9" ht="18" x14ac:dyDescent="0.3">
      <c r="A24" s="103"/>
      <c r="B24" s="107"/>
      <c r="C24" s="107"/>
      <c r="D24" s="1">
        <f t="shared" si="0"/>
        <v>0</v>
      </c>
      <c r="E24" s="1"/>
      <c r="F24" s="1"/>
      <c r="G24" s="1">
        <f t="shared" si="1"/>
        <v>0</v>
      </c>
      <c r="H24" s="1"/>
      <c r="I24" s="2"/>
    </row>
    <row r="25" spans="1:9" ht="18" x14ac:dyDescent="0.3">
      <c r="A25" s="103" t="s">
        <v>7</v>
      </c>
      <c r="B25" s="107" t="s">
        <v>5</v>
      </c>
      <c r="C25" s="107">
        <v>900</v>
      </c>
      <c r="D25" s="3">
        <f t="shared" si="0"/>
        <v>0</v>
      </c>
      <c r="E25" s="1">
        <f>E27+E85</f>
        <v>0</v>
      </c>
      <c r="F25" s="1">
        <f>F27+F85</f>
        <v>0</v>
      </c>
      <c r="G25" s="3">
        <f t="shared" si="1"/>
        <v>0</v>
      </c>
      <c r="H25" s="1">
        <f>H27+H85</f>
        <v>0</v>
      </c>
      <c r="I25" s="2">
        <f>I27+I85</f>
        <v>0</v>
      </c>
    </row>
    <row r="26" spans="1:9" ht="18" x14ac:dyDescent="0.3">
      <c r="A26" s="103" t="s">
        <v>6</v>
      </c>
      <c r="B26" s="107"/>
      <c r="C26" s="107"/>
      <c r="D26" s="3"/>
      <c r="E26" s="1"/>
      <c r="F26" s="1"/>
      <c r="G26" s="3"/>
      <c r="H26" s="1"/>
      <c r="I26" s="2"/>
    </row>
    <row r="27" spans="1:9" ht="18" x14ac:dyDescent="0.3">
      <c r="A27" s="103" t="s">
        <v>8</v>
      </c>
      <c r="B27" s="107" t="s">
        <v>5</v>
      </c>
      <c r="C27" s="107">
        <v>200</v>
      </c>
      <c r="D27" s="3">
        <f t="shared" si="0"/>
        <v>0</v>
      </c>
      <c r="E27" s="1">
        <f>E29+E37+E61+E67</f>
        <v>0</v>
      </c>
      <c r="F27" s="1">
        <f>F29+F37+F61+F67</f>
        <v>0</v>
      </c>
      <c r="G27" s="3">
        <f>H27+I27</f>
        <v>0</v>
      </c>
      <c r="H27" s="1">
        <f>H29+H37+H61+H67</f>
        <v>0</v>
      </c>
      <c r="I27" s="2">
        <f>I29+I37+I61+I67</f>
        <v>0</v>
      </c>
    </row>
    <row r="28" spans="1:9" ht="14.4" customHeight="1" x14ac:dyDescent="0.3">
      <c r="A28" s="103" t="s">
        <v>9</v>
      </c>
      <c r="B28" s="107"/>
      <c r="C28" s="107"/>
      <c r="D28" s="3"/>
      <c r="E28" s="1"/>
      <c r="F28" s="1"/>
      <c r="G28" s="3"/>
      <c r="H28" s="1"/>
      <c r="I28" s="2"/>
    </row>
    <row r="29" spans="1:9" ht="72" x14ac:dyDescent="0.3">
      <c r="A29" s="103" t="s">
        <v>10</v>
      </c>
      <c r="B29" s="107" t="s">
        <v>5</v>
      </c>
      <c r="C29" s="107">
        <v>210</v>
      </c>
      <c r="D29" s="3">
        <f t="shared" si="0"/>
        <v>0</v>
      </c>
      <c r="E29" s="1">
        <f>E31+E32+E33+E34</f>
        <v>0</v>
      </c>
      <c r="F29" s="1">
        <f>F31+F32+F33+F34</f>
        <v>0</v>
      </c>
      <c r="G29" s="3">
        <f>H29+I29</f>
        <v>0</v>
      </c>
      <c r="H29" s="1">
        <f>H31+H32+H33+H34</f>
        <v>0</v>
      </c>
      <c r="I29" s="2">
        <f>I31+I32+I33+I34</f>
        <v>0</v>
      </c>
    </row>
    <row r="30" spans="1:9" ht="18" x14ac:dyDescent="0.3">
      <c r="A30" s="103" t="s">
        <v>9</v>
      </c>
      <c r="B30" s="107"/>
      <c r="C30" s="107"/>
      <c r="D30" s="3"/>
      <c r="E30" s="1"/>
      <c r="F30" s="1"/>
      <c r="G30" s="3"/>
      <c r="H30" s="1"/>
      <c r="I30" s="2"/>
    </row>
    <row r="31" spans="1:9" ht="18" x14ac:dyDescent="0.3">
      <c r="A31" s="103" t="s">
        <v>11</v>
      </c>
      <c r="B31" s="107">
        <v>111</v>
      </c>
      <c r="C31" s="107">
        <v>211</v>
      </c>
      <c r="D31" s="3">
        <f t="shared" si="0"/>
        <v>0</v>
      </c>
      <c r="E31" s="1"/>
      <c r="F31" s="1"/>
      <c r="G31" s="3">
        <f>H31+I31</f>
        <v>0</v>
      </c>
      <c r="H31" s="1"/>
      <c r="I31" s="2"/>
    </row>
    <row r="32" spans="1:9" ht="72" x14ac:dyDescent="0.3">
      <c r="A32" s="103" t="s">
        <v>12</v>
      </c>
      <c r="B32" s="107">
        <v>112</v>
      </c>
      <c r="C32" s="107">
        <v>212</v>
      </c>
      <c r="D32" s="3">
        <f t="shared" si="0"/>
        <v>0</v>
      </c>
      <c r="E32" s="1"/>
      <c r="F32" s="1"/>
      <c r="G32" s="3">
        <f>H32+I32</f>
        <v>0</v>
      </c>
      <c r="H32" s="1"/>
      <c r="I32" s="2"/>
    </row>
    <row r="33" spans="1:9" ht="54" x14ac:dyDescent="0.3">
      <c r="A33" s="103" t="s">
        <v>13</v>
      </c>
      <c r="B33" s="107">
        <v>119</v>
      </c>
      <c r="C33" s="107">
        <v>213</v>
      </c>
      <c r="D33" s="3">
        <f t="shared" si="0"/>
        <v>0</v>
      </c>
      <c r="E33" s="1"/>
      <c r="F33" s="1"/>
      <c r="G33" s="3">
        <f>H33+I33</f>
        <v>0</v>
      </c>
      <c r="H33" s="1"/>
      <c r="I33" s="2"/>
    </row>
    <row r="34" spans="1:9" ht="72" x14ac:dyDescent="0.3">
      <c r="A34" s="103" t="s">
        <v>200</v>
      </c>
      <c r="B34" s="107" t="s">
        <v>5</v>
      </c>
      <c r="C34" s="107">
        <v>214</v>
      </c>
      <c r="D34" s="3">
        <f>E34+F34</f>
        <v>0</v>
      </c>
      <c r="E34" s="1">
        <f>E35+E36</f>
        <v>0</v>
      </c>
      <c r="F34" s="1">
        <f>F35+F36</f>
        <v>0</v>
      </c>
      <c r="G34" s="3">
        <f>H34+I34</f>
        <v>0</v>
      </c>
      <c r="H34" s="1">
        <f>H35+H36</f>
        <v>0</v>
      </c>
      <c r="I34" s="2">
        <f>I35+I36</f>
        <v>0</v>
      </c>
    </row>
    <row r="35" spans="1:9" ht="18" x14ac:dyDescent="0.3">
      <c r="A35" s="607" t="s">
        <v>6</v>
      </c>
      <c r="B35" s="107">
        <v>112</v>
      </c>
      <c r="C35" s="107">
        <v>214</v>
      </c>
      <c r="D35" s="3">
        <f t="shared" si="0"/>
        <v>0</v>
      </c>
      <c r="E35" s="1"/>
      <c r="F35" s="1"/>
      <c r="G35" s="3">
        <f>H35+I35</f>
        <v>0</v>
      </c>
      <c r="H35" s="1"/>
      <c r="I35" s="2"/>
    </row>
    <row r="36" spans="1:9" ht="25.2" customHeight="1" x14ac:dyDescent="0.3">
      <c r="A36" s="607"/>
      <c r="B36" s="107">
        <v>244</v>
      </c>
      <c r="C36" s="107">
        <v>214</v>
      </c>
      <c r="D36" s="3">
        <v>0</v>
      </c>
      <c r="E36" s="1"/>
      <c r="F36" s="1"/>
      <c r="G36" s="3">
        <v>0</v>
      </c>
      <c r="H36" s="1"/>
      <c r="I36" s="2"/>
    </row>
    <row r="37" spans="1:9" ht="36" x14ac:dyDescent="0.3">
      <c r="A37" s="103" t="s">
        <v>14</v>
      </c>
      <c r="B37" s="107" t="s">
        <v>5</v>
      </c>
      <c r="C37" s="107">
        <v>220</v>
      </c>
      <c r="D37" s="3">
        <f t="shared" si="0"/>
        <v>0</v>
      </c>
      <c r="E37" s="1">
        <f>E39+E40+E43+E50+E51+E54+E60</f>
        <v>0</v>
      </c>
      <c r="F37" s="1">
        <f>F39+F40+F43+F50+F51+F54+F60</f>
        <v>0</v>
      </c>
      <c r="G37" s="3">
        <f>H37+I37</f>
        <v>0</v>
      </c>
      <c r="H37" s="1">
        <f>H39+H40+H43+H50+H51+H54+H60</f>
        <v>0</v>
      </c>
      <c r="I37" s="2">
        <f>I39+I40+I43+I50+I51+I54+I60</f>
        <v>0</v>
      </c>
    </row>
    <row r="38" spans="1:9" ht="18" x14ac:dyDescent="0.3">
      <c r="A38" s="103" t="s">
        <v>9</v>
      </c>
      <c r="B38" s="107"/>
      <c r="C38" s="107"/>
      <c r="D38" s="3"/>
      <c r="E38" s="1"/>
      <c r="F38" s="1"/>
      <c r="G38" s="3"/>
      <c r="H38" s="1"/>
      <c r="I38" s="2"/>
    </row>
    <row r="39" spans="1:9" ht="18" x14ac:dyDescent="0.3">
      <c r="A39" s="103" t="s">
        <v>15</v>
      </c>
      <c r="B39" s="107">
        <v>244</v>
      </c>
      <c r="C39" s="107">
        <v>221</v>
      </c>
      <c r="D39" s="3">
        <f t="shared" si="0"/>
        <v>0</v>
      </c>
      <c r="E39" s="1"/>
      <c r="F39" s="1"/>
      <c r="G39" s="3">
        <f>H39+I39</f>
        <v>0</v>
      </c>
      <c r="H39" s="1"/>
      <c r="I39" s="2"/>
    </row>
    <row r="40" spans="1:9" ht="36" x14ac:dyDescent="0.3">
      <c r="A40" s="103" t="s">
        <v>16</v>
      </c>
      <c r="B40" s="107" t="s">
        <v>5</v>
      </c>
      <c r="C40" s="107">
        <v>222</v>
      </c>
      <c r="D40" s="3">
        <f t="shared" si="0"/>
        <v>0</v>
      </c>
      <c r="E40" s="1">
        <f>E41+E42</f>
        <v>0</v>
      </c>
      <c r="F40" s="1">
        <f>F41+F42</f>
        <v>0</v>
      </c>
      <c r="G40" s="3">
        <f>H40+I40</f>
        <v>0</v>
      </c>
      <c r="H40" s="1">
        <f>H41+H42</f>
        <v>0</v>
      </c>
      <c r="I40" s="2">
        <f>I41+I42</f>
        <v>0</v>
      </c>
    </row>
    <row r="41" spans="1:9" ht="22.95" customHeight="1" x14ac:dyDescent="0.3">
      <c r="A41" s="385" t="s">
        <v>6</v>
      </c>
      <c r="B41" s="107">
        <v>112</v>
      </c>
      <c r="C41" s="107">
        <v>222</v>
      </c>
      <c r="D41" s="3">
        <f t="shared" si="0"/>
        <v>0</v>
      </c>
      <c r="E41" s="1"/>
      <c r="F41" s="1"/>
      <c r="G41" s="3">
        <f>H41+I41</f>
        <v>0</v>
      </c>
      <c r="H41" s="1"/>
      <c r="I41" s="2"/>
    </row>
    <row r="42" spans="1:9" ht="18" x14ac:dyDescent="0.3">
      <c r="A42" s="385"/>
      <c r="B42" s="107">
        <v>244</v>
      </c>
      <c r="C42" s="107">
        <v>222</v>
      </c>
      <c r="D42" s="3">
        <f t="shared" si="0"/>
        <v>0</v>
      </c>
      <c r="E42" s="1"/>
      <c r="F42" s="1"/>
      <c r="G42" s="3">
        <f>H42+I42</f>
        <v>0</v>
      </c>
      <c r="H42" s="1"/>
      <c r="I42" s="2"/>
    </row>
    <row r="43" spans="1:9" ht="36" x14ac:dyDescent="0.3">
      <c r="A43" s="103" t="s">
        <v>17</v>
      </c>
      <c r="B43" s="107" t="s">
        <v>5</v>
      </c>
      <c r="C43" s="107">
        <v>223</v>
      </c>
      <c r="D43" s="3">
        <f t="shared" si="0"/>
        <v>0</v>
      </c>
      <c r="E43" s="1">
        <f>E45+E46+E47+E48+E49</f>
        <v>0</v>
      </c>
      <c r="F43" s="1">
        <f>F45+F46+F47+F48+F49</f>
        <v>0</v>
      </c>
      <c r="G43" s="3">
        <f>H43+I43</f>
        <v>0</v>
      </c>
      <c r="H43" s="1">
        <f>H45+H46+H47+H48+H49</f>
        <v>0</v>
      </c>
      <c r="I43" s="2">
        <f>I45+I46+I47+I48+I49</f>
        <v>0</v>
      </c>
    </row>
    <row r="44" spans="1:9" ht="18" x14ac:dyDescent="0.3">
      <c r="A44" s="103" t="s">
        <v>6</v>
      </c>
      <c r="B44" s="107"/>
      <c r="C44" s="107"/>
      <c r="D44" s="3"/>
      <c r="E44" s="1"/>
      <c r="F44" s="1"/>
      <c r="G44" s="3"/>
      <c r="H44" s="1"/>
      <c r="I44" s="2"/>
    </row>
    <row r="45" spans="1:9" ht="54" x14ac:dyDescent="0.3">
      <c r="A45" s="103" t="s">
        <v>18</v>
      </c>
      <c r="B45" s="107">
        <v>244</v>
      </c>
      <c r="C45" s="107">
        <v>223</v>
      </c>
      <c r="D45" s="3">
        <f t="shared" si="0"/>
        <v>0</v>
      </c>
      <c r="E45" s="1"/>
      <c r="F45" s="1"/>
      <c r="G45" s="3">
        <f t="shared" ref="G45:G50" si="2">H45+I45</f>
        <v>0</v>
      </c>
      <c r="H45" s="1"/>
      <c r="I45" s="2"/>
    </row>
    <row r="46" spans="1:9" ht="36" x14ac:dyDescent="0.3">
      <c r="A46" s="103" t="s">
        <v>19</v>
      </c>
      <c r="B46" s="107">
        <v>244</v>
      </c>
      <c r="C46" s="107">
        <v>223</v>
      </c>
      <c r="D46" s="3">
        <f t="shared" si="0"/>
        <v>0</v>
      </c>
      <c r="E46" s="1"/>
      <c r="F46" s="1"/>
      <c r="G46" s="3">
        <f t="shared" si="2"/>
        <v>0</v>
      </c>
      <c r="H46" s="1"/>
      <c r="I46" s="2"/>
    </row>
    <row r="47" spans="1:9" ht="54" x14ac:dyDescent="0.3">
      <c r="A47" s="103" t="s">
        <v>20</v>
      </c>
      <c r="B47" s="107">
        <v>244</v>
      </c>
      <c r="C47" s="107">
        <v>223</v>
      </c>
      <c r="D47" s="3">
        <f t="shared" si="0"/>
        <v>0</v>
      </c>
      <c r="E47" s="1"/>
      <c r="F47" s="1"/>
      <c r="G47" s="3">
        <f t="shared" si="2"/>
        <v>0</v>
      </c>
      <c r="H47" s="1"/>
      <c r="I47" s="2"/>
    </row>
    <row r="48" spans="1:9" ht="72" x14ac:dyDescent="0.3">
      <c r="A48" s="103" t="s">
        <v>21</v>
      </c>
      <c r="B48" s="107">
        <v>244</v>
      </c>
      <c r="C48" s="107">
        <v>223</v>
      </c>
      <c r="D48" s="3">
        <f t="shared" si="0"/>
        <v>0</v>
      </c>
      <c r="E48" s="1"/>
      <c r="F48" s="1"/>
      <c r="G48" s="3">
        <f t="shared" si="2"/>
        <v>0</v>
      </c>
      <c r="H48" s="1"/>
      <c r="I48" s="2"/>
    </row>
    <row r="49" spans="1:9" ht="54" x14ac:dyDescent="0.3">
      <c r="A49" s="103" t="s">
        <v>22</v>
      </c>
      <c r="B49" s="107">
        <v>244</v>
      </c>
      <c r="C49" s="107">
        <v>223</v>
      </c>
      <c r="D49" s="3">
        <f t="shared" si="0"/>
        <v>0</v>
      </c>
      <c r="E49" s="1"/>
      <c r="F49" s="1"/>
      <c r="G49" s="3">
        <f t="shared" si="2"/>
        <v>0</v>
      </c>
      <c r="H49" s="1"/>
      <c r="I49" s="2"/>
    </row>
    <row r="50" spans="1:9" ht="162" x14ac:dyDescent="0.3">
      <c r="A50" s="103" t="s">
        <v>23</v>
      </c>
      <c r="B50" s="107">
        <v>244</v>
      </c>
      <c r="C50" s="107">
        <v>224</v>
      </c>
      <c r="D50" s="3">
        <f t="shared" si="0"/>
        <v>0</v>
      </c>
      <c r="E50" s="1"/>
      <c r="F50" s="1"/>
      <c r="G50" s="3">
        <f t="shared" si="2"/>
        <v>0</v>
      </c>
      <c r="H50" s="1"/>
      <c r="I50" s="2"/>
    </row>
    <row r="51" spans="1:9" ht="54" x14ac:dyDescent="0.3">
      <c r="A51" s="103" t="s">
        <v>24</v>
      </c>
      <c r="B51" s="107" t="s">
        <v>5</v>
      </c>
      <c r="C51" s="107">
        <v>225</v>
      </c>
      <c r="D51" s="1">
        <f t="shared" ref="D51:I51" si="3">D52+D53</f>
        <v>0</v>
      </c>
      <c r="E51" s="1">
        <f t="shared" si="3"/>
        <v>0</v>
      </c>
      <c r="F51" s="1">
        <f t="shared" si="3"/>
        <v>0</v>
      </c>
      <c r="G51" s="1">
        <f t="shared" si="3"/>
        <v>0</v>
      </c>
      <c r="H51" s="1">
        <f t="shared" si="3"/>
        <v>0</v>
      </c>
      <c r="I51" s="2">
        <f t="shared" si="3"/>
        <v>0</v>
      </c>
    </row>
    <row r="52" spans="1:9" ht="18" x14ac:dyDescent="0.3">
      <c r="A52" s="385" t="s">
        <v>6</v>
      </c>
      <c r="B52" s="107">
        <v>243</v>
      </c>
      <c r="C52" s="107">
        <v>225</v>
      </c>
      <c r="D52" s="3">
        <f t="shared" si="0"/>
        <v>0</v>
      </c>
      <c r="E52" s="1"/>
      <c r="F52" s="1"/>
      <c r="G52" s="3">
        <f t="shared" ref="G52:G85" si="4">H52+I52</f>
        <v>0</v>
      </c>
      <c r="H52" s="1"/>
      <c r="I52" s="2"/>
    </row>
    <row r="53" spans="1:9" ht="18" x14ac:dyDescent="0.3">
      <c r="A53" s="385"/>
      <c r="B53" s="107">
        <v>244</v>
      </c>
      <c r="C53" s="107">
        <v>225</v>
      </c>
      <c r="D53" s="3">
        <f t="shared" si="0"/>
        <v>0</v>
      </c>
      <c r="E53" s="1"/>
      <c r="F53" s="1"/>
      <c r="G53" s="3">
        <f t="shared" si="4"/>
        <v>0</v>
      </c>
      <c r="H53" s="1"/>
      <c r="I53" s="2"/>
    </row>
    <row r="54" spans="1:9" ht="36" x14ac:dyDescent="0.3">
      <c r="A54" s="103" t="s">
        <v>58</v>
      </c>
      <c r="B54" s="107" t="s">
        <v>5</v>
      </c>
      <c r="C54" s="107">
        <v>226</v>
      </c>
      <c r="D54" s="3">
        <f t="shared" si="0"/>
        <v>0</v>
      </c>
      <c r="E54" s="1">
        <f>E55+E56+E58+E59+E57</f>
        <v>0</v>
      </c>
      <c r="F54" s="1">
        <f>F55+F56+F58+F59+F57</f>
        <v>0</v>
      </c>
      <c r="G54" s="3">
        <f t="shared" si="4"/>
        <v>0</v>
      </c>
      <c r="H54" s="1">
        <f>H55+H56+H58+H59+H57</f>
        <v>0</v>
      </c>
      <c r="I54" s="2">
        <f>I55+I56+I58+I59+I57</f>
        <v>0</v>
      </c>
    </row>
    <row r="55" spans="1:9" ht="18" x14ac:dyDescent="0.3">
      <c r="A55" s="385" t="s">
        <v>6</v>
      </c>
      <c r="B55" s="107">
        <v>112</v>
      </c>
      <c r="C55" s="107">
        <v>226</v>
      </c>
      <c r="D55" s="3">
        <f t="shared" si="0"/>
        <v>0</v>
      </c>
      <c r="E55" s="1"/>
      <c r="F55" s="1"/>
      <c r="G55" s="3">
        <f t="shared" si="4"/>
        <v>0</v>
      </c>
      <c r="H55" s="1"/>
      <c r="I55" s="2"/>
    </row>
    <row r="56" spans="1:9" ht="18" x14ac:dyDescent="0.3">
      <c r="A56" s="385"/>
      <c r="B56" s="107">
        <v>113</v>
      </c>
      <c r="C56" s="107">
        <v>226</v>
      </c>
      <c r="D56" s="3">
        <f t="shared" si="0"/>
        <v>0</v>
      </c>
      <c r="E56" s="1"/>
      <c r="F56" s="1"/>
      <c r="G56" s="3">
        <f t="shared" si="4"/>
        <v>0</v>
      </c>
      <c r="H56" s="1"/>
      <c r="I56" s="2"/>
    </row>
    <row r="57" spans="1:9" ht="18" x14ac:dyDescent="0.3">
      <c r="A57" s="385"/>
      <c r="B57" s="107">
        <v>119</v>
      </c>
      <c r="C57" s="107">
        <v>226</v>
      </c>
      <c r="D57" s="3">
        <f t="shared" si="0"/>
        <v>0</v>
      </c>
      <c r="E57" s="1"/>
      <c r="F57" s="1"/>
      <c r="G57" s="3">
        <f t="shared" si="4"/>
        <v>0</v>
      </c>
      <c r="H57" s="1"/>
      <c r="I57" s="2"/>
    </row>
    <row r="58" spans="1:9" ht="18" x14ac:dyDescent="0.3">
      <c r="A58" s="385"/>
      <c r="B58" s="107">
        <v>243</v>
      </c>
      <c r="C58" s="107">
        <v>226</v>
      </c>
      <c r="D58" s="3">
        <f t="shared" si="0"/>
        <v>0</v>
      </c>
      <c r="E58" s="1"/>
      <c r="F58" s="1"/>
      <c r="G58" s="3">
        <f t="shared" si="4"/>
        <v>0</v>
      </c>
      <c r="H58" s="1"/>
      <c r="I58" s="2"/>
    </row>
    <row r="59" spans="1:9" ht="18" x14ac:dyDescent="0.3">
      <c r="A59" s="385"/>
      <c r="B59" s="107">
        <v>244</v>
      </c>
      <c r="C59" s="107">
        <v>226</v>
      </c>
      <c r="D59" s="3">
        <f t="shared" si="0"/>
        <v>0</v>
      </c>
      <c r="E59" s="1"/>
      <c r="F59" s="1"/>
      <c r="G59" s="3">
        <f t="shared" si="4"/>
        <v>0</v>
      </c>
      <c r="H59" s="1"/>
      <c r="I59" s="2"/>
    </row>
    <row r="60" spans="1:9" ht="18" x14ac:dyDescent="0.3">
      <c r="A60" s="103" t="s">
        <v>25</v>
      </c>
      <c r="B60" s="107">
        <v>244</v>
      </c>
      <c r="C60" s="107">
        <v>227</v>
      </c>
      <c r="D60" s="3">
        <f t="shared" si="0"/>
        <v>0</v>
      </c>
      <c r="E60" s="1"/>
      <c r="F60" s="1"/>
      <c r="G60" s="3">
        <f t="shared" si="4"/>
        <v>0</v>
      </c>
      <c r="H60" s="1"/>
      <c r="I60" s="2"/>
    </row>
    <row r="61" spans="1:9" ht="36" x14ac:dyDescent="0.3">
      <c r="A61" s="103" t="s">
        <v>26</v>
      </c>
      <c r="B61" s="107" t="s">
        <v>5</v>
      </c>
      <c r="C61" s="107">
        <v>260</v>
      </c>
      <c r="D61" s="3">
        <f t="shared" si="0"/>
        <v>0</v>
      </c>
      <c r="E61" s="1">
        <f>E62+E63+E66</f>
        <v>0</v>
      </c>
      <c r="F61" s="1">
        <f>F62+F63+F66</f>
        <v>0</v>
      </c>
      <c r="G61" s="3">
        <f t="shared" si="4"/>
        <v>0</v>
      </c>
      <c r="H61" s="1">
        <f>H62+H63+H66</f>
        <v>0</v>
      </c>
      <c r="I61" s="2">
        <f>I62+I63+I66</f>
        <v>0</v>
      </c>
    </row>
    <row r="62" spans="1:9" ht="90" x14ac:dyDescent="0.3">
      <c r="A62" s="103" t="s">
        <v>27</v>
      </c>
      <c r="B62" s="107">
        <v>321</v>
      </c>
      <c r="C62" s="107">
        <v>264</v>
      </c>
      <c r="D62" s="3">
        <f t="shared" si="0"/>
        <v>0</v>
      </c>
      <c r="E62" s="1"/>
      <c r="F62" s="1"/>
      <c r="G62" s="3">
        <f t="shared" si="4"/>
        <v>0</v>
      </c>
      <c r="H62" s="1"/>
      <c r="I62" s="2"/>
    </row>
    <row r="63" spans="1:9" ht="72" x14ac:dyDescent="0.3">
      <c r="A63" s="103" t="s">
        <v>28</v>
      </c>
      <c r="B63" s="107" t="s">
        <v>5</v>
      </c>
      <c r="C63" s="107">
        <v>266</v>
      </c>
      <c r="D63" s="3">
        <f t="shared" si="0"/>
        <v>0</v>
      </c>
      <c r="E63" s="1">
        <f>E64+E65</f>
        <v>0</v>
      </c>
      <c r="F63" s="1">
        <f>F64+F65</f>
        <v>0</v>
      </c>
      <c r="G63" s="3">
        <f t="shared" si="4"/>
        <v>0</v>
      </c>
      <c r="H63" s="1">
        <f>H64+H65</f>
        <v>0</v>
      </c>
      <c r="I63" s="2">
        <f>I64+I65</f>
        <v>0</v>
      </c>
    </row>
    <row r="64" spans="1:9" ht="18" x14ac:dyDescent="0.3">
      <c r="A64" s="385" t="s">
        <v>6</v>
      </c>
      <c r="B64" s="107">
        <v>111</v>
      </c>
      <c r="C64" s="107">
        <v>266</v>
      </c>
      <c r="D64" s="3">
        <f t="shared" si="0"/>
        <v>0</v>
      </c>
      <c r="E64" s="1"/>
      <c r="F64" s="1"/>
      <c r="G64" s="3">
        <f t="shared" si="4"/>
        <v>0</v>
      </c>
      <c r="H64" s="1"/>
      <c r="I64" s="2"/>
    </row>
    <row r="65" spans="1:9" ht="18" x14ac:dyDescent="0.3">
      <c r="A65" s="385"/>
      <c r="B65" s="107">
        <v>112</v>
      </c>
      <c r="C65" s="107">
        <v>266</v>
      </c>
      <c r="D65" s="3">
        <f t="shared" si="0"/>
        <v>0</v>
      </c>
      <c r="E65" s="1"/>
      <c r="F65" s="1"/>
      <c r="G65" s="3">
        <f t="shared" si="4"/>
        <v>0</v>
      </c>
      <c r="H65" s="1"/>
      <c r="I65" s="2"/>
    </row>
    <row r="66" spans="1:9" ht="72" x14ac:dyDescent="0.3">
      <c r="A66" s="103" t="s">
        <v>29</v>
      </c>
      <c r="B66" s="107">
        <v>112</v>
      </c>
      <c r="C66" s="107">
        <v>267</v>
      </c>
      <c r="D66" s="3">
        <f t="shared" si="0"/>
        <v>0</v>
      </c>
      <c r="E66" s="1"/>
      <c r="F66" s="1"/>
      <c r="G66" s="3">
        <f t="shared" si="4"/>
        <v>0</v>
      </c>
      <c r="H66" s="1"/>
      <c r="I66" s="2"/>
    </row>
    <row r="67" spans="1:9" ht="18" x14ac:dyDescent="0.3">
      <c r="A67" s="103" t="s">
        <v>30</v>
      </c>
      <c r="B67" s="107" t="s">
        <v>5</v>
      </c>
      <c r="C67" s="107">
        <v>290</v>
      </c>
      <c r="D67" s="3">
        <f t="shared" si="0"/>
        <v>0</v>
      </c>
      <c r="E67" s="1">
        <f>E69+E73+E74+E75+E76+E82</f>
        <v>0</v>
      </c>
      <c r="F67" s="1">
        <f>F69+F73+F74+F75+F76+F82</f>
        <v>0</v>
      </c>
      <c r="G67" s="3">
        <f t="shared" si="4"/>
        <v>0</v>
      </c>
      <c r="H67" s="1">
        <f>H69+H73+H74+H75+H76+H82</f>
        <v>0</v>
      </c>
      <c r="I67" s="2">
        <f>I69+I73+I74+I75+I76+I82</f>
        <v>0</v>
      </c>
    </row>
    <row r="68" spans="1:9" ht="18" x14ac:dyDescent="0.3">
      <c r="A68" s="103" t="s">
        <v>9</v>
      </c>
      <c r="B68" s="107"/>
      <c r="C68" s="107"/>
      <c r="D68" s="3">
        <f t="shared" si="0"/>
        <v>0</v>
      </c>
      <c r="E68" s="1"/>
      <c r="F68" s="1"/>
      <c r="G68" s="3">
        <f t="shared" si="4"/>
        <v>0</v>
      </c>
      <c r="H68" s="1"/>
      <c r="I68" s="2"/>
    </row>
    <row r="69" spans="1:9" ht="36" x14ac:dyDescent="0.3">
      <c r="A69" s="103" t="s">
        <v>31</v>
      </c>
      <c r="B69" s="107" t="s">
        <v>5</v>
      </c>
      <c r="C69" s="107">
        <v>291</v>
      </c>
      <c r="D69" s="3">
        <f t="shared" si="0"/>
        <v>0</v>
      </c>
      <c r="E69" s="1">
        <f>E70+E71+E72</f>
        <v>0</v>
      </c>
      <c r="F69" s="1">
        <f>F70+F71+F72</f>
        <v>0</v>
      </c>
      <c r="G69" s="3">
        <f t="shared" si="4"/>
        <v>0</v>
      </c>
      <c r="H69" s="1">
        <f>H70+H71+H72</f>
        <v>0</v>
      </c>
      <c r="I69" s="2">
        <f>I70+I71+I72</f>
        <v>0</v>
      </c>
    </row>
    <row r="70" spans="1:9" ht="18" x14ac:dyDescent="0.3">
      <c r="A70" s="385" t="s">
        <v>6</v>
      </c>
      <c r="B70" s="107">
        <v>851</v>
      </c>
      <c r="C70" s="107">
        <v>291</v>
      </c>
      <c r="D70" s="3">
        <f t="shared" si="0"/>
        <v>0</v>
      </c>
      <c r="E70" s="1"/>
      <c r="F70" s="1"/>
      <c r="G70" s="3">
        <f t="shared" si="4"/>
        <v>0</v>
      </c>
      <c r="H70" s="1"/>
      <c r="I70" s="2"/>
    </row>
    <row r="71" spans="1:9" ht="18" x14ac:dyDescent="0.3">
      <c r="A71" s="385"/>
      <c r="B71" s="107">
        <v>852</v>
      </c>
      <c r="C71" s="107">
        <v>291</v>
      </c>
      <c r="D71" s="3">
        <f t="shared" si="0"/>
        <v>0</v>
      </c>
      <c r="E71" s="1"/>
      <c r="F71" s="1"/>
      <c r="G71" s="3">
        <f t="shared" si="4"/>
        <v>0</v>
      </c>
      <c r="H71" s="1"/>
      <c r="I71" s="2"/>
    </row>
    <row r="72" spans="1:9" ht="18" x14ac:dyDescent="0.3">
      <c r="A72" s="385"/>
      <c r="B72" s="107">
        <v>853</v>
      </c>
      <c r="C72" s="107">
        <v>291</v>
      </c>
      <c r="D72" s="3">
        <f t="shared" si="0"/>
        <v>0</v>
      </c>
      <c r="E72" s="1"/>
      <c r="F72" s="1"/>
      <c r="G72" s="3">
        <f t="shared" si="4"/>
        <v>0</v>
      </c>
      <c r="H72" s="1"/>
      <c r="I72" s="2"/>
    </row>
    <row r="73" spans="1:9" ht="108" x14ac:dyDescent="0.3">
      <c r="A73" s="103" t="s">
        <v>32</v>
      </c>
      <c r="B73" s="107">
        <v>853</v>
      </c>
      <c r="C73" s="107">
        <v>292</v>
      </c>
      <c r="D73" s="3">
        <f t="shared" ref="D73:D102" si="5">E73+F73</f>
        <v>0</v>
      </c>
      <c r="E73" s="1"/>
      <c r="F73" s="1">
        <v>0</v>
      </c>
      <c r="G73" s="3">
        <f t="shared" si="4"/>
        <v>0</v>
      </c>
      <c r="H73" s="1"/>
      <c r="I73" s="2">
        <v>0</v>
      </c>
    </row>
    <row r="74" spans="1:9" ht="126" x14ac:dyDescent="0.3">
      <c r="A74" s="103" t="s">
        <v>33</v>
      </c>
      <c r="B74" s="107">
        <v>853</v>
      </c>
      <c r="C74" s="107">
        <v>293</v>
      </c>
      <c r="D74" s="3">
        <f t="shared" si="5"/>
        <v>0</v>
      </c>
      <c r="E74" s="1"/>
      <c r="F74" s="1">
        <v>0</v>
      </c>
      <c r="G74" s="3">
        <f t="shared" si="4"/>
        <v>0</v>
      </c>
      <c r="H74" s="1"/>
      <c r="I74" s="2">
        <v>0</v>
      </c>
    </row>
    <row r="75" spans="1:9" ht="54" x14ac:dyDescent="0.3">
      <c r="A75" s="103" t="s">
        <v>157</v>
      </c>
      <c r="B75" s="107">
        <v>853</v>
      </c>
      <c r="C75" s="107">
        <v>295</v>
      </c>
      <c r="D75" s="3">
        <f t="shared" si="5"/>
        <v>0</v>
      </c>
      <c r="E75" s="1"/>
      <c r="F75" s="1">
        <v>0</v>
      </c>
      <c r="G75" s="3">
        <f t="shared" si="4"/>
        <v>0</v>
      </c>
      <c r="H75" s="1"/>
      <c r="I75" s="2">
        <v>0</v>
      </c>
    </row>
    <row r="76" spans="1:9" ht="54" x14ac:dyDescent="0.3">
      <c r="A76" s="103" t="s">
        <v>34</v>
      </c>
      <c r="B76" s="107" t="s">
        <v>5</v>
      </c>
      <c r="C76" s="107">
        <v>296</v>
      </c>
      <c r="D76" s="3">
        <f t="shared" si="5"/>
        <v>0</v>
      </c>
      <c r="E76" s="1">
        <f>E77+E78+E79+E80+E81</f>
        <v>0</v>
      </c>
      <c r="F76" s="1">
        <f>F77+F78+F79+F80+F81</f>
        <v>0</v>
      </c>
      <c r="G76" s="3">
        <f t="shared" si="4"/>
        <v>0</v>
      </c>
      <c r="H76" s="1">
        <f>H77+H78+H79+H80+H81</f>
        <v>0</v>
      </c>
      <c r="I76" s="2">
        <f>I77+I78+I79+I80+I81</f>
        <v>0</v>
      </c>
    </row>
    <row r="77" spans="1:9" ht="18" x14ac:dyDescent="0.3">
      <c r="A77" s="385" t="s">
        <v>6</v>
      </c>
      <c r="B77" s="107">
        <v>244</v>
      </c>
      <c r="C77" s="107">
        <v>296</v>
      </c>
      <c r="D77" s="3">
        <f t="shared" si="5"/>
        <v>0</v>
      </c>
      <c r="E77" s="1"/>
      <c r="F77" s="1"/>
      <c r="G77" s="3">
        <f t="shared" si="4"/>
        <v>0</v>
      </c>
      <c r="H77" s="1"/>
      <c r="I77" s="2"/>
    </row>
    <row r="78" spans="1:9" ht="18" x14ac:dyDescent="0.3">
      <c r="A78" s="385"/>
      <c r="B78" s="107">
        <v>340</v>
      </c>
      <c r="C78" s="107">
        <v>296</v>
      </c>
      <c r="D78" s="3">
        <f t="shared" si="5"/>
        <v>0</v>
      </c>
      <c r="E78" s="1"/>
      <c r="F78" s="1"/>
      <c r="G78" s="3">
        <f t="shared" si="4"/>
        <v>0</v>
      </c>
      <c r="H78" s="1"/>
      <c r="I78" s="2"/>
    </row>
    <row r="79" spans="1:9" ht="18" x14ac:dyDescent="0.3">
      <c r="A79" s="385"/>
      <c r="B79" s="107">
        <v>350</v>
      </c>
      <c r="C79" s="107">
        <v>296</v>
      </c>
      <c r="D79" s="3">
        <f t="shared" si="5"/>
        <v>0</v>
      </c>
      <c r="E79" s="1"/>
      <c r="F79" s="1"/>
      <c r="G79" s="3">
        <f t="shared" si="4"/>
        <v>0</v>
      </c>
      <c r="H79" s="1"/>
      <c r="I79" s="2"/>
    </row>
    <row r="80" spans="1:9" ht="18" x14ac:dyDescent="0.3">
      <c r="A80" s="385"/>
      <c r="B80" s="107">
        <v>360</v>
      </c>
      <c r="C80" s="107">
        <v>296</v>
      </c>
      <c r="D80" s="3">
        <f t="shared" si="5"/>
        <v>0</v>
      </c>
      <c r="E80" s="1"/>
      <c r="F80" s="1"/>
      <c r="G80" s="3">
        <f t="shared" si="4"/>
        <v>0</v>
      </c>
      <c r="H80" s="1"/>
      <c r="I80" s="2"/>
    </row>
    <row r="81" spans="1:9" ht="18" x14ac:dyDescent="0.3">
      <c r="A81" s="385"/>
      <c r="B81" s="107">
        <v>853</v>
      </c>
      <c r="C81" s="107">
        <v>296</v>
      </c>
      <c r="D81" s="3">
        <f t="shared" si="5"/>
        <v>0</v>
      </c>
      <c r="E81" s="1"/>
      <c r="F81" s="1"/>
      <c r="G81" s="3">
        <f t="shared" si="4"/>
        <v>0</v>
      </c>
      <c r="H81" s="1"/>
      <c r="I81" s="2"/>
    </row>
    <row r="82" spans="1:9" ht="62.4" customHeight="1" x14ac:dyDescent="0.3">
      <c r="A82" s="103" t="s">
        <v>35</v>
      </c>
      <c r="B82" s="107" t="s">
        <v>5</v>
      </c>
      <c r="C82" s="107">
        <v>297</v>
      </c>
      <c r="D82" s="3">
        <f t="shared" si="5"/>
        <v>0</v>
      </c>
      <c r="E82" s="1">
        <f>E83+E84</f>
        <v>0</v>
      </c>
      <c r="F82" s="1">
        <f>F83+F84</f>
        <v>0</v>
      </c>
      <c r="G82" s="3">
        <f t="shared" si="4"/>
        <v>0</v>
      </c>
      <c r="H82" s="1">
        <f>H83+H84</f>
        <v>0</v>
      </c>
      <c r="I82" s="2">
        <f>I83+I84</f>
        <v>0</v>
      </c>
    </row>
    <row r="83" spans="1:9" ht="18" x14ac:dyDescent="0.3">
      <c r="A83" s="385" t="s">
        <v>6</v>
      </c>
      <c r="B83" s="107">
        <v>244</v>
      </c>
      <c r="C83" s="107">
        <v>297</v>
      </c>
      <c r="D83" s="3">
        <f t="shared" si="5"/>
        <v>0</v>
      </c>
      <c r="E83" s="1"/>
      <c r="F83" s="1"/>
      <c r="G83" s="3">
        <f t="shared" si="4"/>
        <v>0</v>
      </c>
      <c r="H83" s="1"/>
      <c r="I83" s="2"/>
    </row>
    <row r="84" spans="1:9" ht="18" x14ac:dyDescent="0.3">
      <c r="A84" s="385"/>
      <c r="B84" s="107">
        <v>853</v>
      </c>
      <c r="C84" s="107">
        <v>297</v>
      </c>
      <c r="D84" s="3">
        <f t="shared" si="5"/>
        <v>0</v>
      </c>
      <c r="E84" s="1"/>
      <c r="F84" s="1"/>
      <c r="G84" s="3">
        <f t="shared" si="4"/>
        <v>0</v>
      </c>
      <c r="H84" s="1"/>
      <c r="I84" s="2"/>
    </row>
    <row r="85" spans="1:9" ht="54" x14ac:dyDescent="0.3">
      <c r="A85" s="103" t="s">
        <v>59</v>
      </c>
      <c r="B85" s="107" t="s">
        <v>5</v>
      </c>
      <c r="C85" s="107">
        <v>300</v>
      </c>
      <c r="D85" s="3">
        <f t="shared" si="5"/>
        <v>0</v>
      </c>
      <c r="E85" s="1">
        <f>E87+E89+E88</f>
        <v>0</v>
      </c>
      <c r="F85" s="1">
        <f>F87+F89+F88</f>
        <v>0</v>
      </c>
      <c r="G85" s="3">
        <f t="shared" si="4"/>
        <v>0</v>
      </c>
      <c r="H85" s="1">
        <f>H87+H89+H88</f>
        <v>0</v>
      </c>
      <c r="I85" s="2">
        <f>I87+I89+I88</f>
        <v>0</v>
      </c>
    </row>
    <row r="86" spans="1:9" ht="18" x14ac:dyDescent="0.3">
      <c r="A86" s="103" t="s">
        <v>9</v>
      </c>
      <c r="B86" s="107"/>
      <c r="C86" s="107"/>
      <c r="D86" s="3"/>
      <c r="E86" s="1"/>
      <c r="F86" s="1"/>
      <c r="G86" s="3"/>
      <c r="H86" s="1"/>
      <c r="I86" s="2"/>
    </row>
    <row r="87" spans="1:9" ht="54" x14ac:dyDescent="0.3">
      <c r="A87" s="103" t="s">
        <v>36</v>
      </c>
      <c r="B87" s="107">
        <v>244</v>
      </c>
      <c r="C87" s="107">
        <v>310</v>
      </c>
      <c r="D87" s="3">
        <f t="shared" si="5"/>
        <v>0</v>
      </c>
      <c r="E87" s="1"/>
      <c r="F87" s="1"/>
      <c r="G87" s="3">
        <f>H87+I87</f>
        <v>0</v>
      </c>
      <c r="H87" s="1"/>
      <c r="I87" s="2"/>
    </row>
    <row r="88" spans="1:9" ht="72" x14ac:dyDescent="0.3">
      <c r="A88" s="103" t="s">
        <v>68</v>
      </c>
      <c r="B88" s="107">
        <v>244</v>
      </c>
      <c r="C88" s="107">
        <v>320</v>
      </c>
      <c r="D88" s="3">
        <f t="shared" si="5"/>
        <v>0</v>
      </c>
      <c r="E88" s="1"/>
      <c r="F88" s="1"/>
      <c r="G88" s="3">
        <f>H88+I88</f>
        <v>0</v>
      </c>
      <c r="H88" s="1"/>
      <c r="I88" s="2"/>
    </row>
    <row r="89" spans="1:9" ht="72" x14ac:dyDescent="0.3">
      <c r="A89" s="103" t="s">
        <v>60</v>
      </c>
      <c r="B89" s="107" t="s">
        <v>5</v>
      </c>
      <c r="C89" s="107">
        <v>340</v>
      </c>
      <c r="D89" s="3">
        <f t="shared" si="5"/>
        <v>0</v>
      </c>
      <c r="E89" s="1">
        <f>E91+E92+E93+E94+E95+E96+E97</f>
        <v>0</v>
      </c>
      <c r="F89" s="1">
        <f>F91+F92+F93+F94+F95+F96+F97</f>
        <v>0</v>
      </c>
      <c r="G89" s="3">
        <f>H89+I89</f>
        <v>0</v>
      </c>
      <c r="H89" s="1">
        <f>H91+H92+H93+H94+H95+H96+H97</f>
        <v>0</v>
      </c>
      <c r="I89" s="2">
        <f>I91+I92+I93+I94+I95+I96+I97</f>
        <v>0</v>
      </c>
    </row>
    <row r="90" spans="1:9" ht="18" x14ac:dyDescent="0.3">
      <c r="A90" s="103" t="s">
        <v>6</v>
      </c>
      <c r="B90" s="107"/>
      <c r="C90" s="107"/>
      <c r="D90" s="3"/>
      <c r="E90" s="1"/>
      <c r="F90" s="1"/>
      <c r="G90" s="3"/>
      <c r="H90" s="1"/>
      <c r="I90" s="2"/>
    </row>
    <row r="91" spans="1:9" ht="126" x14ac:dyDescent="0.3">
      <c r="A91" s="103" t="s">
        <v>37</v>
      </c>
      <c r="B91" s="107">
        <v>244</v>
      </c>
      <c r="C91" s="107">
        <v>341</v>
      </c>
      <c r="D91" s="3">
        <f t="shared" si="5"/>
        <v>0</v>
      </c>
      <c r="E91" s="1"/>
      <c r="F91" s="1"/>
      <c r="G91" s="3">
        <f t="shared" ref="G91:G98" si="6">H91+I91</f>
        <v>0</v>
      </c>
      <c r="H91" s="1"/>
      <c r="I91" s="2"/>
    </row>
    <row r="92" spans="1:9" ht="54" x14ac:dyDescent="0.3">
      <c r="A92" s="103" t="s">
        <v>38</v>
      </c>
      <c r="B92" s="107">
        <v>244</v>
      </c>
      <c r="C92" s="107">
        <v>342</v>
      </c>
      <c r="D92" s="3">
        <f t="shared" si="5"/>
        <v>0</v>
      </c>
      <c r="E92" s="1"/>
      <c r="F92" s="1"/>
      <c r="G92" s="3">
        <f t="shared" si="6"/>
        <v>0</v>
      </c>
      <c r="H92" s="1"/>
      <c r="I92" s="2"/>
    </row>
    <row r="93" spans="1:9" ht="72" x14ac:dyDescent="0.3">
      <c r="A93" s="103" t="s">
        <v>39</v>
      </c>
      <c r="B93" s="107">
        <v>244</v>
      </c>
      <c r="C93" s="107">
        <v>343</v>
      </c>
      <c r="D93" s="3">
        <f t="shared" si="5"/>
        <v>0</v>
      </c>
      <c r="E93" s="1"/>
      <c r="F93" s="1"/>
      <c r="G93" s="3">
        <f t="shared" si="6"/>
        <v>0</v>
      </c>
      <c r="H93" s="1"/>
      <c r="I93" s="2"/>
    </row>
    <row r="94" spans="1:9" ht="72" x14ac:dyDescent="0.3">
      <c r="A94" s="103" t="s">
        <v>40</v>
      </c>
      <c r="B94" s="107">
        <v>244</v>
      </c>
      <c r="C94" s="107">
        <v>344</v>
      </c>
      <c r="D94" s="3">
        <f t="shared" si="5"/>
        <v>0</v>
      </c>
      <c r="E94" s="1"/>
      <c r="F94" s="1"/>
      <c r="G94" s="3">
        <f t="shared" si="6"/>
        <v>0</v>
      </c>
      <c r="H94" s="1"/>
      <c r="I94" s="2"/>
    </row>
    <row r="95" spans="1:9" ht="54" x14ac:dyDescent="0.3">
      <c r="A95" s="103" t="s">
        <v>41</v>
      </c>
      <c r="B95" s="107">
        <v>244</v>
      </c>
      <c r="C95" s="107">
        <v>345</v>
      </c>
      <c r="D95" s="3">
        <f t="shared" si="5"/>
        <v>0</v>
      </c>
      <c r="E95" s="1"/>
      <c r="F95" s="1"/>
      <c r="G95" s="3">
        <f t="shared" si="6"/>
        <v>0</v>
      </c>
      <c r="H95" s="1"/>
      <c r="I95" s="2"/>
    </row>
    <row r="96" spans="1:9" ht="72" x14ac:dyDescent="0.3">
      <c r="A96" s="103" t="s">
        <v>42</v>
      </c>
      <c r="B96" s="107">
        <v>244</v>
      </c>
      <c r="C96" s="107">
        <v>346</v>
      </c>
      <c r="D96" s="3">
        <f t="shared" si="5"/>
        <v>0</v>
      </c>
      <c r="E96" s="1"/>
      <c r="F96" s="1"/>
      <c r="G96" s="3">
        <f t="shared" si="6"/>
        <v>0</v>
      </c>
      <c r="H96" s="1"/>
      <c r="I96" s="2"/>
    </row>
    <row r="97" spans="1:9" ht="108" x14ac:dyDescent="0.3">
      <c r="A97" s="103" t="s">
        <v>43</v>
      </c>
      <c r="B97" s="107">
        <v>244</v>
      </c>
      <c r="C97" s="107">
        <v>349</v>
      </c>
      <c r="D97" s="3">
        <f t="shared" si="5"/>
        <v>0</v>
      </c>
      <c r="E97" s="1"/>
      <c r="F97" s="1"/>
      <c r="G97" s="3">
        <f t="shared" si="6"/>
        <v>0</v>
      </c>
      <c r="H97" s="1"/>
      <c r="I97" s="2"/>
    </row>
    <row r="98" spans="1:9" ht="54" x14ac:dyDescent="0.3">
      <c r="A98" s="103" t="s">
        <v>67</v>
      </c>
      <c r="B98" s="107" t="s">
        <v>5</v>
      </c>
      <c r="C98" s="107" t="s">
        <v>5</v>
      </c>
      <c r="D98" s="3">
        <f t="shared" si="5"/>
        <v>0</v>
      </c>
      <c r="E98" s="1">
        <f>E100+E101+E102</f>
        <v>0</v>
      </c>
      <c r="F98" s="1">
        <f>F100+F101+F102</f>
        <v>0</v>
      </c>
      <c r="G98" s="3">
        <f t="shared" si="6"/>
        <v>0</v>
      </c>
      <c r="H98" s="1">
        <f>H100+H101+H102</f>
        <v>0</v>
      </c>
      <c r="I98" s="2">
        <f>I100+I101+I102</f>
        <v>0</v>
      </c>
    </row>
    <row r="99" spans="1:9" ht="18" x14ac:dyDescent="0.3">
      <c r="A99" s="103" t="s">
        <v>6</v>
      </c>
      <c r="B99" s="107"/>
      <c r="C99" s="107"/>
      <c r="D99" s="3"/>
      <c r="E99" s="1"/>
      <c r="F99" s="1"/>
      <c r="G99" s="3"/>
      <c r="H99" s="1"/>
      <c r="I99" s="2"/>
    </row>
    <row r="100" spans="1:9" ht="18" x14ac:dyDescent="0.3">
      <c r="A100" s="103" t="s">
        <v>193</v>
      </c>
      <c r="B100" s="107">
        <v>180</v>
      </c>
      <c r="C100" s="107" t="s">
        <v>5</v>
      </c>
      <c r="D100" s="3">
        <f t="shared" si="5"/>
        <v>0</v>
      </c>
      <c r="E100" s="1"/>
      <c r="F100" s="1"/>
      <c r="G100" s="3">
        <f>H100+I100</f>
        <v>0</v>
      </c>
      <c r="H100" s="1"/>
      <c r="I100" s="2"/>
    </row>
    <row r="101" spans="1:9" ht="54" x14ac:dyDescent="0.3">
      <c r="A101" s="103" t="s">
        <v>194</v>
      </c>
      <c r="B101" s="107">
        <v>180</v>
      </c>
      <c r="C101" s="107" t="s">
        <v>5</v>
      </c>
      <c r="D101" s="3">
        <f t="shared" si="5"/>
        <v>0</v>
      </c>
      <c r="E101" s="1"/>
      <c r="F101" s="1"/>
      <c r="G101" s="3">
        <f>H101+I101</f>
        <v>0</v>
      </c>
      <c r="H101" s="1"/>
      <c r="I101" s="2"/>
    </row>
    <row r="102" spans="1:9" ht="36.6" thickBot="1" x14ac:dyDescent="0.35">
      <c r="A102" s="30" t="s">
        <v>195</v>
      </c>
      <c r="B102" s="31">
        <v>180</v>
      </c>
      <c r="C102" s="31" t="s">
        <v>5</v>
      </c>
      <c r="D102" s="32">
        <f t="shared" si="5"/>
        <v>0</v>
      </c>
      <c r="E102" s="33"/>
      <c r="F102" s="33"/>
      <c r="G102" s="32">
        <f>H102+I102</f>
        <v>0</v>
      </c>
      <c r="H102" s="33"/>
      <c r="I102" s="91"/>
    </row>
    <row r="103" spans="1:9" ht="18" x14ac:dyDescent="0.3">
      <c r="A103" s="13"/>
      <c r="B103" s="17"/>
      <c r="C103" s="17"/>
      <c r="D103" s="34"/>
      <c r="E103" s="34"/>
      <c r="F103" s="34"/>
    </row>
    <row r="104" spans="1:9" ht="15" x14ac:dyDescent="0.3">
      <c r="A104" s="9"/>
    </row>
    <row r="105" spans="1:9" ht="36" x14ac:dyDescent="0.35">
      <c r="A105" s="27" t="s">
        <v>52</v>
      </c>
      <c r="B105" s="400"/>
      <c r="C105" s="400"/>
      <c r="D105" s="8"/>
      <c r="E105" s="400"/>
      <c r="F105" s="400"/>
    </row>
    <row r="106" spans="1:9" ht="18" x14ac:dyDescent="0.35">
      <c r="A106" s="27"/>
      <c r="B106" s="401" t="s">
        <v>53</v>
      </c>
      <c r="C106" s="401"/>
      <c r="D106" s="8"/>
      <c r="E106" s="401" t="s">
        <v>54</v>
      </c>
      <c r="F106" s="401"/>
    </row>
    <row r="107" spans="1:9" ht="18" x14ac:dyDescent="0.35">
      <c r="A107" s="27"/>
      <c r="B107" s="8"/>
      <c r="C107" s="8"/>
      <c r="D107" s="8"/>
      <c r="E107" s="8"/>
      <c r="F107" s="8"/>
    </row>
    <row r="108" spans="1:9" ht="36" x14ac:dyDescent="0.35">
      <c r="A108" s="27" t="s">
        <v>55</v>
      </c>
      <c r="B108" s="400"/>
      <c r="C108" s="400"/>
      <c r="D108" s="8"/>
      <c r="E108" s="400"/>
      <c r="F108" s="400"/>
    </row>
    <row r="109" spans="1:9" ht="18" x14ac:dyDescent="0.35">
      <c r="A109" s="27"/>
      <c r="B109" s="401" t="s">
        <v>53</v>
      </c>
      <c r="C109" s="401"/>
      <c r="D109" s="8"/>
      <c r="E109" s="401" t="s">
        <v>54</v>
      </c>
      <c r="F109" s="401"/>
    </row>
    <row r="110" spans="1:9" ht="18" x14ac:dyDescent="0.35">
      <c r="A110" s="27"/>
      <c r="B110" s="104"/>
      <c r="C110" s="104"/>
      <c r="D110" s="8"/>
      <c r="E110" s="104"/>
      <c r="F110" s="104"/>
    </row>
    <row r="111" spans="1:9" ht="18" x14ac:dyDescent="0.35">
      <c r="A111" s="27" t="s">
        <v>56</v>
      </c>
      <c r="B111" s="400"/>
      <c r="C111" s="400"/>
      <c r="D111" s="8"/>
      <c r="E111" s="400"/>
      <c r="F111" s="400"/>
    </row>
    <row r="112" spans="1:9" ht="18" x14ac:dyDescent="0.35">
      <c r="A112" s="27"/>
      <c r="B112" s="401" t="s">
        <v>53</v>
      </c>
      <c r="C112" s="401"/>
      <c r="D112" s="8"/>
      <c r="E112" s="401" t="s">
        <v>54</v>
      </c>
      <c r="F112" s="401"/>
    </row>
    <row r="113" spans="1:16" ht="18" x14ac:dyDescent="0.35">
      <c r="A113" s="27" t="s">
        <v>57</v>
      </c>
      <c r="B113" s="8"/>
      <c r="C113" s="8"/>
      <c r="D113" s="8"/>
      <c r="E113" s="8"/>
      <c r="F113" s="8"/>
    </row>
    <row r="114" spans="1:16" ht="18" x14ac:dyDescent="0.35">
      <c r="A114" s="396" t="s">
        <v>44</v>
      </c>
      <c r="B114" s="396"/>
      <c r="C114" s="8"/>
      <c r="D114" s="8"/>
      <c r="E114" s="8"/>
      <c r="F114" s="8"/>
    </row>
    <row r="115" spans="1:16" ht="17.399999999999999" x14ac:dyDescent="0.3">
      <c r="A115" s="564" t="s">
        <v>191</v>
      </c>
      <c r="B115" s="564"/>
      <c r="C115" s="564"/>
      <c r="D115" s="564"/>
      <c r="E115" s="564"/>
      <c r="F115" s="564"/>
      <c r="G115" s="564"/>
      <c r="H115" s="564"/>
      <c r="I115" s="564"/>
      <c r="K115" s="563" t="s">
        <v>232</v>
      </c>
      <c r="L115" s="563"/>
      <c r="M115" s="563"/>
      <c r="N115" s="563" t="s">
        <v>233</v>
      </c>
      <c r="O115" s="563"/>
      <c r="P115" s="563"/>
    </row>
    <row r="116" spans="1:16" ht="57.6" x14ac:dyDescent="0.3">
      <c r="A116" s="76" t="s">
        <v>235</v>
      </c>
      <c r="B116" s="78" t="s">
        <v>5</v>
      </c>
      <c r="C116" s="78" t="s">
        <v>5</v>
      </c>
      <c r="D116" s="3">
        <f>E116+F116</f>
        <v>0</v>
      </c>
      <c r="E116" s="1"/>
      <c r="F116" s="2"/>
      <c r="G116" s="3">
        <f>H116+I116</f>
        <v>0</v>
      </c>
      <c r="H116" s="1"/>
      <c r="I116" s="2"/>
      <c r="J116" s="34"/>
      <c r="K116" s="65" t="s">
        <v>229</v>
      </c>
      <c r="L116" s="65" t="s">
        <v>230</v>
      </c>
      <c r="M116" s="65" t="s">
        <v>231</v>
      </c>
      <c r="N116" s="65" t="s">
        <v>229</v>
      </c>
      <c r="O116" s="65" t="s">
        <v>230</v>
      </c>
      <c r="P116" s="65" t="s">
        <v>231</v>
      </c>
    </row>
    <row r="117" spans="1:16" ht="18" x14ac:dyDescent="0.3">
      <c r="A117" s="76" t="s">
        <v>7</v>
      </c>
      <c r="B117" s="78" t="s">
        <v>5</v>
      </c>
      <c r="C117" s="78">
        <v>900</v>
      </c>
      <c r="D117" s="3">
        <f>E117+F117</f>
        <v>0</v>
      </c>
      <c r="E117" s="1">
        <f>E120+E148+E162+E190</f>
        <v>0</v>
      </c>
      <c r="F117" s="1">
        <f>F120+F148</f>
        <v>0</v>
      </c>
      <c r="G117" s="3">
        <f>H117+I117</f>
        <v>0</v>
      </c>
      <c r="H117" s="1">
        <f>H120+H148+H162+H190</f>
        <v>0</v>
      </c>
      <c r="I117" s="1">
        <f>I120+I148</f>
        <v>0</v>
      </c>
      <c r="J117" s="34"/>
      <c r="K117" s="66">
        <f>E31+E32+E33+E35+E41+E55+E56+E57+E62+E64+E65+E66+E70+E71+E72+E73+E74+E75+E78+E79+E80+E81+E84</f>
        <v>0</v>
      </c>
      <c r="L117" s="66">
        <f>K117+D117</f>
        <v>0</v>
      </c>
      <c r="M117" s="66">
        <f>L117-E25</f>
        <v>0</v>
      </c>
      <c r="N117" s="66">
        <f>H31+H32+H33+H35+H41+H55+H56+H57+H62+H64+H65+H66+H70+H71+H72+H73+H74+H75+H78+H79+H80+H81+H84</f>
        <v>0</v>
      </c>
      <c r="O117" s="66">
        <f>N117+G117</f>
        <v>0</v>
      </c>
      <c r="P117" s="66">
        <f>O117-H25</f>
        <v>0</v>
      </c>
    </row>
    <row r="118" spans="1:16" ht="18" x14ac:dyDescent="0.3">
      <c r="A118" s="76" t="s">
        <v>6</v>
      </c>
      <c r="B118" s="78"/>
      <c r="C118" s="78"/>
      <c r="D118" s="3"/>
      <c r="E118" s="1"/>
      <c r="F118" s="2"/>
      <c r="G118" s="3"/>
      <c r="H118" s="1"/>
      <c r="I118" s="2"/>
      <c r="J118" s="34"/>
      <c r="K118" s="34"/>
      <c r="L118" s="34"/>
    </row>
    <row r="119" spans="1:16" ht="17.399999999999999" customHeight="1" x14ac:dyDescent="0.3">
      <c r="A119" s="565" t="s">
        <v>199</v>
      </c>
      <c r="B119" s="566"/>
      <c r="C119" s="566"/>
      <c r="D119" s="566"/>
      <c r="E119" s="566"/>
      <c r="F119" s="566"/>
      <c r="G119" s="566"/>
      <c r="H119" s="566"/>
      <c r="I119" s="566"/>
      <c r="J119" s="70"/>
      <c r="K119" s="70"/>
      <c r="L119" s="70"/>
    </row>
    <row r="120" spans="1:16" ht="18" x14ac:dyDescent="0.3">
      <c r="A120" s="76" t="s">
        <v>8</v>
      </c>
      <c r="B120" s="78" t="s">
        <v>5</v>
      </c>
      <c r="C120" s="78">
        <v>200</v>
      </c>
      <c r="D120" s="3">
        <f t="shared" ref="D120:D152" si="7">E120+F120</f>
        <v>0</v>
      </c>
      <c r="E120" s="1">
        <f>E122+E125+E144</f>
        <v>0</v>
      </c>
      <c r="F120" s="1">
        <f>F122+F125+F144</f>
        <v>0</v>
      </c>
      <c r="G120" s="3">
        <f>H120+I120</f>
        <v>0</v>
      </c>
      <c r="H120" s="1">
        <f>H122+H125+H144</f>
        <v>0</v>
      </c>
      <c r="I120" s="1">
        <f>I122+I125+I144</f>
        <v>0</v>
      </c>
      <c r="J120" s="34"/>
      <c r="K120" s="34"/>
      <c r="L120" s="34"/>
    </row>
    <row r="121" spans="1:16" ht="18" x14ac:dyDescent="0.3">
      <c r="A121" s="76" t="s">
        <v>9</v>
      </c>
      <c r="B121" s="78"/>
      <c r="C121" s="78"/>
      <c r="D121" s="3"/>
      <c r="E121" s="1"/>
      <c r="F121" s="1"/>
      <c r="G121" s="3"/>
      <c r="H121" s="1"/>
      <c r="I121" s="1"/>
      <c r="J121" s="34"/>
      <c r="K121" s="34"/>
      <c r="L121" s="34"/>
    </row>
    <row r="122" spans="1:16" ht="72" x14ac:dyDescent="0.3">
      <c r="A122" s="76" t="s">
        <v>10</v>
      </c>
      <c r="B122" s="78" t="s">
        <v>5</v>
      </c>
      <c r="C122" s="78">
        <v>210</v>
      </c>
      <c r="D122" s="3">
        <f t="shared" si="7"/>
        <v>0</v>
      </c>
      <c r="E122" s="1">
        <f>E124</f>
        <v>0</v>
      </c>
      <c r="F122" s="1">
        <f>F124</f>
        <v>0</v>
      </c>
      <c r="G122" s="3">
        <f>H122+I122</f>
        <v>0</v>
      </c>
      <c r="H122" s="1">
        <f>H124</f>
        <v>0</v>
      </c>
      <c r="I122" s="1">
        <f>I124</f>
        <v>0</v>
      </c>
      <c r="J122" s="34"/>
      <c r="K122" s="34"/>
      <c r="L122" s="34"/>
    </row>
    <row r="123" spans="1:16" ht="18" x14ac:dyDescent="0.3">
      <c r="A123" s="76" t="s">
        <v>9</v>
      </c>
      <c r="B123" s="78"/>
      <c r="C123" s="78"/>
      <c r="D123" s="3"/>
      <c r="E123" s="1"/>
      <c r="F123" s="1"/>
      <c r="G123" s="3"/>
      <c r="H123" s="1"/>
      <c r="I123" s="1"/>
      <c r="J123" s="34"/>
      <c r="K123" s="34"/>
      <c r="L123" s="34"/>
    </row>
    <row r="124" spans="1:16" ht="72" x14ac:dyDescent="0.3">
      <c r="A124" s="76" t="s">
        <v>200</v>
      </c>
      <c r="B124" s="78">
        <v>244</v>
      </c>
      <c r="C124" s="78">
        <v>214</v>
      </c>
      <c r="D124" s="3">
        <f>E124+F124</f>
        <v>0</v>
      </c>
      <c r="E124" s="1"/>
      <c r="F124" s="1"/>
      <c r="G124" s="3">
        <f>H124+I124</f>
        <v>0</v>
      </c>
      <c r="H124" s="1"/>
      <c r="I124" s="1"/>
      <c r="J124" s="34"/>
      <c r="K124" s="34"/>
      <c r="L124" s="34"/>
    </row>
    <row r="125" spans="1:16" ht="36" x14ac:dyDescent="0.3">
      <c r="A125" s="76" t="s">
        <v>14</v>
      </c>
      <c r="B125" s="78" t="s">
        <v>5</v>
      </c>
      <c r="C125" s="78">
        <v>220</v>
      </c>
      <c r="D125" s="3">
        <f t="shared" si="7"/>
        <v>0</v>
      </c>
      <c r="E125" s="1">
        <f>E127+E128+E129+E136+E137+E140+E143</f>
        <v>0</v>
      </c>
      <c r="F125" s="1">
        <f>F127+F128+F129+F136+F137+F140+F143</f>
        <v>0</v>
      </c>
      <c r="G125" s="3">
        <f>H125+I125</f>
        <v>0</v>
      </c>
      <c r="H125" s="1">
        <f>H127+H128+H129+H136+H137+H140+H143</f>
        <v>0</v>
      </c>
      <c r="I125" s="1">
        <f>I127+I128+I129+I136+I137+I140+I143</f>
        <v>0</v>
      </c>
      <c r="J125" s="34"/>
      <c r="K125" s="34"/>
      <c r="L125" s="34"/>
    </row>
    <row r="126" spans="1:16" ht="18" x14ac:dyDescent="0.3">
      <c r="A126" s="76" t="s">
        <v>9</v>
      </c>
      <c r="B126" s="78"/>
      <c r="C126" s="78"/>
      <c r="D126" s="3"/>
      <c r="E126" s="1"/>
      <c r="F126" s="1"/>
      <c r="G126" s="3"/>
      <c r="H126" s="1"/>
      <c r="I126" s="1"/>
      <c r="J126" s="34"/>
      <c r="K126" s="34"/>
      <c r="L126" s="34"/>
    </row>
    <row r="127" spans="1:16" ht="18" x14ac:dyDescent="0.3">
      <c r="A127" s="76" t="s">
        <v>15</v>
      </c>
      <c r="B127" s="78">
        <v>244</v>
      </c>
      <c r="C127" s="78">
        <v>221</v>
      </c>
      <c r="D127" s="3">
        <f t="shared" si="7"/>
        <v>0</v>
      </c>
      <c r="E127" s="1"/>
      <c r="F127" s="1"/>
      <c r="G127" s="3">
        <f>H127+I127</f>
        <v>0</v>
      </c>
      <c r="H127" s="1"/>
      <c r="I127" s="1"/>
      <c r="J127" s="34"/>
      <c r="K127" s="34"/>
      <c r="L127" s="34"/>
    </row>
    <row r="128" spans="1:16" ht="36" x14ac:dyDescent="0.3">
      <c r="A128" s="76" t="s">
        <v>16</v>
      </c>
      <c r="B128" s="78">
        <v>244</v>
      </c>
      <c r="C128" s="78">
        <v>222</v>
      </c>
      <c r="D128" s="3">
        <f t="shared" si="7"/>
        <v>0</v>
      </c>
      <c r="E128" s="1"/>
      <c r="F128" s="1"/>
      <c r="G128" s="3">
        <f>H128+I128</f>
        <v>0</v>
      </c>
      <c r="H128" s="1"/>
      <c r="I128" s="1"/>
      <c r="J128" s="34"/>
      <c r="K128" s="34"/>
      <c r="L128" s="34"/>
    </row>
    <row r="129" spans="1:12" ht="36" x14ac:dyDescent="0.3">
      <c r="A129" s="76" t="s">
        <v>17</v>
      </c>
      <c r="B129" s="78" t="s">
        <v>5</v>
      </c>
      <c r="C129" s="78">
        <v>223</v>
      </c>
      <c r="D129" s="3">
        <f t="shared" si="7"/>
        <v>0</v>
      </c>
      <c r="E129" s="1">
        <f>E131+E132+E133+E134+E135</f>
        <v>0</v>
      </c>
      <c r="F129" s="1">
        <f>F131+F132+F133+F134+F135</f>
        <v>0</v>
      </c>
      <c r="G129" s="3">
        <f>H129+I129</f>
        <v>0</v>
      </c>
      <c r="H129" s="1">
        <f>H131+H132+H133+H134+H135</f>
        <v>0</v>
      </c>
      <c r="I129" s="1">
        <f>I131+I132+I133+I134+I135</f>
        <v>0</v>
      </c>
      <c r="J129" s="34"/>
      <c r="K129" s="34"/>
      <c r="L129" s="34"/>
    </row>
    <row r="130" spans="1:12" ht="18" x14ac:dyDescent="0.3">
      <c r="A130" s="76" t="s">
        <v>6</v>
      </c>
      <c r="B130" s="78"/>
      <c r="C130" s="78"/>
      <c r="D130" s="3"/>
      <c r="E130" s="1"/>
      <c r="F130" s="1"/>
      <c r="G130" s="3"/>
      <c r="H130" s="1"/>
      <c r="I130" s="1"/>
      <c r="J130" s="34"/>
      <c r="K130" s="34"/>
      <c r="L130" s="34"/>
    </row>
    <row r="131" spans="1:12" ht="54" x14ac:dyDescent="0.3">
      <c r="A131" s="76" t="s">
        <v>18</v>
      </c>
      <c r="B131" s="78">
        <v>244</v>
      </c>
      <c r="C131" s="78">
        <v>223</v>
      </c>
      <c r="D131" s="3">
        <f t="shared" si="7"/>
        <v>0</v>
      </c>
      <c r="E131" s="1"/>
      <c r="F131" s="1"/>
      <c r="G131" s="3">
        <f t="shared" ref="G131:G136" si="8">H131+I131</f>
        <v>0</v>
      </c>
      <c r="H131" s="1"/>
      <c r="I131" s="1"/>
      <c r="J131" s="34"/>
      <c r="K131" s="34"/>
      <c r="L131" s="34"/>
    </row>
    <row r="132" spans="1:12" ht="36" x14ac:dyDescent="0.3">
      <c r="A132" s="76" t="s">
        <v>19</v>
      </c>
      <c r="B132" s="78">
        <v>244</v>
      </c>
      <c r="C132" s="78">
        <v>223</v>
      </c>
      <c r="D132" s="3">
        <f t="shared" si="7"/>
        <v>0</v>
      </c>
      <c r="E132" s="1"/>
      <c r="F132" s="1"/>
      <c r="G132" s="3">
        <f t="shared" si="8"/>
        <v>0</v>
      </c>
      <c r="H132" s="1"/>
      <c r="I132" s="1"/>
      <c r="J132" s="34"/>
      <c r="K132" s="34"/>
      <c r="L132" s="34"/>
    </row>
    <row r="133" spans="1:12" ht="54" x14ac:dyDescent="0.3">
      <c r="A133" s="76" t="s">
        <v>20</v>
      </c>
      <c r="B133" s="78">
        <v>244</v>
      </c>
      <c r="C133" s="78">
        <v>223</v>
      </c>
      <c r="D133" s="3">
        <f t="shared" si="7"/>
        <v>0</v>
      </c>
      <c r="E133" s="1"/>
      <c r="F133" s="1"/>
      <c r="G133" s="3">
        <f t="shared" si="8"/>
        <v>0</v>
      </c>
      <c r="H133" s="1"/>
      <c r="I133" s="1"/>
      <c r="J133" s="34"/>
      <c r="K133" s="34"/>
      <c r="L133" s="34"/>
    </row>
    <row r="134" spans="1:12" ht="72" x14ac:dyDescent="0.3">
      <c r="A134" s="76" t="s">
        <v>21</v>
      </c>
      <c r="B134" s="78">
        <v>244</v>
      </c>
      <c r="C134" s="78">
        <v>223</v>
      </c>
      <c r="D134" s="3">
        <f t="shared" si="7"/>
        <v>0</v>
      </c>
      <c r="E134" s="1"/>
      <c r="F134" s="1"/>
      <c r="G134" s="3">
        <f t="shared" si="8"/>
        <v>0</v>
      </c>
      <c r="H134" s="1"/>
      <c r="I134" s="1"/>
      <c r="J134" s="34"/>
      <c r="K134" s="34"/>
      <c r="L134" s="34"/>
    </row>
    <row r="135" spans="1:12" ht="54" x14ac:dyDescent="0.3">
      <c r="A135" s="76" t="s">
        <v>22</v>
      </c>
      <c r="B135" s="78">
        <v>244</v>
      </c>
      <c r="C135" s="78">
        <v>223</v>
      </c>
      <c r="D135" s="3">
        <f t="shared" si="7"/>
        <v>0</v>
      </c>
      <c r="E135" s="1"/>
      <c r="F135" s="1"/>
      <c r="G135" s="3">
        <f t="shared" si="8"/>
        <v>0</v>
      </c>
      <c r="H135" s="1"/>
      <c r="I135" s="1"/>
      <c r="J135" s="34"/>
      <c r="K135" s="34"/>
      <c r="L135" s="34"/>
    </row>
    <row r="136" spans="1:12" ht="162" x14ac:dyDescent="0.3">
      <c r="A136" s="76" t="s">
        <v>23</v>
      </c>
      <c r="B136" s="78">
        <v>244</v>
      </c>
      <c r="C136" s="78">
        <v>224</v>
      </c>
      <c r="D136" s="3">
        <f t="shared" si="7"/>
        <v>0</v>
      </c>
      <c r="E136" s="1"/>
      <c r="F136" s="1"/>
      <c r="G136" s="3">
        <f t="shared" si="8"/>
        <v>0</v>
      </c>
      <c r="H136" s="1"/>
      <c r="I136" s="1"/>
      <c r="J136" s="34"/>
      <c r="K136" s="34"/>
      <c r="L136" s="34"/>
    </row>
    <row r="137" spans="1:12" ht="54" x14ac:dyDescent="0.3">
      <c r="A137" s="76" t="s">
        <v>24</v>
      </c>
      <c r="B137" s="78" t="s">
        <v>5</v>
      </c>
      <c r="C137" s="78">
        <v>225</v>
      </c>
      <c r="D137" s="1">
        <f t="shared" ref="D137:I137" si="9">D138+D139</f>
        <v>0</v>
      </c>
      <c r="E137" s="1">
        <f t="shared" si="9"/>
        <v>0</v>
      </c>
      <c r="F137" s="1">
        <f t="shared" si="9"/>
        <v>0</v>
      </c>
      <c r="G137" s="1">
        <f t="shared" si="9"/>
        <v>0</v>
      </c>
      <c r="H137" s="1">
        <f t="shared" si="9"/>
        <v>0</v>
      </c>
      <c r="I137" s="1">
        <f t="shared" si="9"/>
        <v>0</v>
      </c>
      <c r="J137" s="34"/>
      <c r="K137" s="34"/>
      <c r="L137" s="34"/>
    </row>
    <row r="138" spans="1:12" ht="18" x14ac:dyDescent="0.3">
      <c r="A138" s="385" t="s">
        <v>6</v>
      </c>
      <c r="B138" s="78">
        <v>243</v>
      </c>
      <c r="C138" s="78">
        <v>225</v>
      </c>
      <c r="D138" s="3">
        <f t="shared" si="7"/>
        <v>0</v>
      </c>
      <c r="E138" s="1"/>
      <c r="F138" s="1"/>
      <c r="G138" s="3">
        <f t="shared" ref="G138:G148" si="10">H138+I138</f>
        <v>0</v>
      </c>
      <c r="H138" s="1"/>
      <c r="I138" s="1"/>
      <c r="J138" s="34"/>
      <c r="K138" s="34"/>
      <c r="L138" s="34"/>
    </row>
    <row r="139" spans="1:12" ht="18" x14ac:dyDescent="0.3">
      <c r="A139" s="385"/>
      <c r="B139" s="78">
        <v>244</v>
      </c>
      <c r="C139" s="78">
        <v>225</v>
      </c>
      <c r="D139" s="3">
        <f t="shared" si="7"/>
        <v>0</v>
      </c>
      <c r="E139" s="1"/>
      <c r="F139" s="1"/>
      <c r="G139" s="3">
        <f t="shared" si="10"/>
        <v>0</v>
      </c>
      <c r="H139" s="1"/>
      <c r="I139" s="1"/>
      <c r="J139" s="34"/>
      <c r="K139" s="34"/>
      <c r="L139" s="34"/>
    </row>
    <row r="140" spans="1:12" ht="36" x14ac:dyDescent="0.3">
      <c r="A140" s="76" t="s">
        <v>58</v>
      </c>
      <c r="B140" s="78" t="s">
        <v>5</v>
      </c>
      <c r="C140" s="78">
        <v>226</v>
      </c>
      <c r="D140" s="3">
        <f t="shared" si="7"/>
        <v>0</v>
      </c>
      <c r="E140" s="1">
        <f>E141+E142</f>
        <v>0</v>
      </c>
      <c r="F140" s="1">
        <f>F141+F142</f>
        <v>0</v>
      </c>
      <c r="G140" s="3">
        <f t="shared" si="10"/>
        <v>0</v>
      </c>
      <c r="H140" s="1">
        <f>H141+H142</f>
        <v>0</v>
      </c>
      <c r="I140" s="1">
        <f>I141+I142</f>
        <v>0</v>
      </c>
      <c r="J140" s="34"/>
      <c r="K140" s="34"/>
      <c r="L140" s="34"/>
    </row>
    <row r="141" spans="1:12" ht="18" x14ac:dyDescent="0.3">
      <c r="A141" s="385" t="s">
        <v>6</v>
      </c>
      <c r="B141" s="78">
        <v>243</v>
      </c>
      <c r="C141" s="78">
        <v>226</v>
      </c>
      <c r="D141" s="3">
        <f t="shared" si="7"/>
        <v>0</v>
      </c>
      <c r="E141" s="1"/>
      <c r="F141" s="1"/>
      <c r="G141" s="3">
        <f t="shared" si="10"/>
        <v>0</v>
      </c>
      <c r="H141" s="1"/>
      <c r="I141" s="1"/>
      <c r="J141" s="34"/>
      <c r="K141" s="34"/>
      <c r="L141" s="34"/>
    </row>
    <row r="142" spans="1:12" ht="18" x14ac:dyDescent="0.3">
      <c r="A142" s="385"/>
      <c r="B142" s="78">
        <v>244</v>
      </c>
      <c r="C142" s="78">
        <v>226</v>
      </c>
      <c r="D142" s="3">
        <f t="shared" si="7"/>
        <v>0</v>
      </c>
      <c r="E142" s="1"/>
      <c r="F142" s="1"/>
      <c r="G142" s="3">
        <f t="shared" si="10"/>
        <v>0</v>
      </c>
      <c r="H142" s="1"/>
      <c r="I142" s="1"/>
      <c r="J142" s="34"/>
      <c r="K142" s="34"/>
      <c r="L142" s="34"/>
    </row>
    <row r="143" spans="1:12" ht="18" x14ac:dyDescent="0.3">
      <c r="A143" s="76" t="s">
        <v>25</v>
      </c>
      <c r="B143" s="78">
        <v>244</v>
      </c>
      <c r="C143" s="78">
        <v>227</v>
      </c>
      <c r="D143" s="3">
        <f t="shared" si="7"/>
        <v>0</v>
      </c>
      <c r="E143" s="1"/>
      <c r="F143" s="1"/>
      <c r="G143" s="3">
        <f t="shared" si="10"/>
        <v>0</v>
      </c>
      <c r="H143" s="1"/>
      <c r="I143" s="1"/>
      <c r="J143" s="34"/>
      <c r="K143" s="34"/>
      <c r="L143" s="34"/>
    </row>
    <row r="144" spans="1:12" ht="18" x14ac:dyDescent="0.3">
      <c r="A144" s="76" t="s">
        <v>30</v>
      </c>
      <c r="B144" s="78" t="s">
        <v>5</v>
      </c>
      <c r="C144" s="78">
        <v>290</v>
      </c>
      <c r="D144" s="3">
        <f t="shared" si="7"/>
        <v>0</v>
      </c>
      <c r="E144" s="1">
        <f>E146+E147</f>
        <v>0</v>
      </c>
      <c r="F144" s="1">
        <f>F146+F147</f>
        <v>0</v>
      </c>
      <c r="G144" s="3">
        <f t="shared" si="10"/>
        <v>0</v>
      </c>
      <c r="H144" s="1">
        <f>H146+H147</f>
        <v>0</v>
      </c>
      <c r="I144" s="1">
        <f>I146+I147</f>
        <v>0</v>
      </c>
      <c r="J144" s="34"/>
      <c r="K144" s="34"/>
      <c r="L144" s="34"/>
    </row>
    <row r="145" spans="1:12" ht="18" x14ac:dyDescent="0.3">
      <c r="A145" s="76" t="s">
        <v>9</v>
      </c>
      <c r="B145" s="78"/>
      <c r="C145" s="78"/>
      <c r="D145" s="3">
        <f t="shared" si="7"/>
        <v>0</v>
      </c>
      <c r="E145" s="1"/>
      <c r="F145" s="1"/>
      <c r="G145" s="3">
        <f t="shared" si="10"/>
        <v>0</v>
      </c>
      <c r="H145" s="1"/>
      <c r="I145" s="1"/>
      <c r="J145" s="34"/>
      <c r="K145" s="34"/>
      <c r="L145" s="34"/>
    </row>
    <row r="146" spans="1:12" ht="54" x14ac:dyDescent="0.3">
      <c r="A146" s="76" t="s">
        <v>34</v>
      </c>
      <c r="B146" s="78">
        <v>244</v>
      </c>
      <c r="C146" s="78">
        <v>296</v>
      </c>
      <c r="D146" s="3">
        <f t="shared" si="7"/>
        <v>0</v>
      </c>
      <c r="E146" s="1"/>
      <c r="F146" s="1"/>
      <c r="G146" s="3">
        <f t="shared" si="10"/>
        <v>0</v>
      </c>
      <c r="H146" s="1"/>
      <c r="I146" s="1"/>
      <c r="J146" s="34"/>
      <c r="K146" s="34"/>
      <c r="L146" s="34"/>
    </row>
    <row r="147" spans="1:12" ht="54" x14ac:dyDescent="0.3">
      <c r="A147" s="76" t="s">
        <v>35</v>
      </c>
      <c r="B147" s="78">
        <v>244</v>
      </c>
      <c r="C147" s="78">
        <v>297</v>
      </c>
      <c r="D147" s="3">
        <f t="shared" si="7"/>
        <v>0</v>
      </c>
      <c r="E147" s="1"/>
      <c r="F147" s="1"/>
      <c r="G147" s="3">
        <f t="shared" si="10"/>
        <v>0</v>
      </c>
      <c r="H147" s="1"/>
      <c r="I147" s="1"/>
      <c r="J147" s="34"/>
      <c r="K147" s="34"/>
      <c r="L147" s="34"/>
    </row>
    <row r="148" spans="1:12" ht="54" x14ac:dyDescent="0.3">
      <c r="A148" s="76" t="s">
        <v>59</v>
      </c>
      <c r="B148" s="78" t="s">
        <v>5</v>
      </c>
      <c r="C148" s="78">
        <v>300</v>
      </c>
      <c r="D148" s="3">
        <f t="shared" si="7"/>
        <v>0</v>
      </c>
      <c r="E148" s="1">
        <f>E150+E152+E151</f>
        <v>0</v>
      </c>
      <c r="F148" s="1">
        <f>F150+F152+F151</f>
        <v>0</v>
      </c>
      <c r="G148" s="3">
        <f t="shared" si="10"/>
        <v>0</v>
      </c>
      <c r="H148" s="1">
        <f>H150+H152+H151</f>
        <v>0</v>
      </c>
      <c r="I148" s="1">
        <f>I150+I152+I151</f>
        <v>0</v>
      </c>
      <c r="J148" s="34"/>
      <c r="K148" s="34"/>
      <c r="L148" s="34"/>
    </row>
    <row r="149" spans="1:12" ht="18" x14ac:dyDescent="0.3">
      <c r="A149" s="76" t="s">
        <v>9</v>
      </c>
      <c r="B149" s="78"/>
      <c r="C149" s="78"/>
      <c r="D149" s="3"/>
      <c r="E149" s="1"/>
      <c r="F149" s="1"/>
      <c r="G149" s="3"/>
      <c r="H149" s="1"/>
      <c r="I149" s="1"/>
      <c r="J149" s="34"/>
      <c r="K149" s="34"/>
      <c r="L149" s="34"/>
    </row>
    <row r="150" spans="1:12" ht="54" x14ac:dyDescent="0.3">
      <c r="A150" s="76" t="s">
        <v>36</v>
      </c>
      <c r="B150" s="78">
        <v>244</v>
      </c>
      <c r="C150" s="78">
        <v>310</v>
      </c>
      <c r="D150" s="3">
        <f t="shared" si="7"/>
        <v>0</v>
      </c>
      <c r="E150" s="1"/>
      <c r="F150" s="1"/>
      <c r="G150" s="3">
        <f>H150+I150</f>
        <v>0</v>
      </c>
      <c r="H150" s="1"/>
      <c r="I150" s="1"/>
      <c r="J150" s="34"/>
      <c r="K150" s="34"/>
      <c r="L150" s="34"/>
    </row>
    <row r="151" spans="1:12" ht="72" x14ac:dyDescent="0.3">
      <c r="A151" s="76" t="s">
        <v>68</v>
      </c>
      <c r="B151" s="78">
        <v>244</v>
      </c>
      <c r="C151" s="78">
        <v>320</v>
      </c>
      <c r="D151" s="3">
        <f t="shared" si="7"/>
        <v>0</v>
      </c>
      <c r="E151" s="1"/>
      <c r="F151" s="1"/>
      <c r="G151" s="3">
        <f>H151+I151</f>
        <v>0</v>
      </c>
      <c r="H151" s="1"/>
      <c r="I151" s="1"/>
      <c r="J151" s="34"/>
      <c r="K151" s="34"/>
      <c r="L151" s="34"/>
    </row>
    <row r="152" spans="1:12" ht="72" x14ac:dyDescent="0.3">
      <c r="A152" s="76" t="s">
        <v>60</v>
      </c>
      <c r="B152" s="78" t="s">
        <v>5</v>
      </c>
      <c r="C152" s="78">
        <v>340</v>
      </c>
      <c r="D152" s="3">
        <f t="shared" si="7"/>
        <v>0</v>
      </c>
      <c r="E152" s="1">
        <f>E154+E155+E156+E157+E158+E159+E160</f>
        <v>0</v>
      </c>
      <c r="F152" s="1">
        <f>F154+F155+F156+F157+F158+F159+F160</f>
        <v>0</v>
      </c>
      <c r="G152" s="3">
        <f>H152+I152</f>
        <v>0</v>
      </c>
      <c r="H152" s="1">
        <f>H154+H155+H156+H157+H158+H159+H160</f>
        <v>0</v>
      </c>
      <c r="I152" s="1">
        <f>I154+I155+I156+I157+I158+I159+I160</f>
        <v>0</v>
      </c>
      <c r="J152" s="34"/>
      <c r="K152" s="34"/>
      <c r="L152" s="34"/>
    </row>
    <row r="153" spans="1:12" ht="18" x14ac:dyDescent="0.3">
      <c r="A153" s="76" t="s">
        <v>6</v>
      </c>
      <c r="B153" s="78"/>
      <c r="C153" s="78"/>
      <c r="D153" s="3"/>
      <c r="E153" s="1"/>
      <c r="F153" s="1"/>
      <c r="G153" s="3"/>
      <c r="H153" s="1"/>
      <c r="I153" s="1"/>
      <c r="J153" s="34"/>
      <c r="K153" s="34"/>
      <c r="L153" s="34"/>
    </row>
    <row r="154" spans="1:12" ht="126" x14ac:dyDescent="0.3">
      <c r="A154" s="76" t="s">
        <v>37</v>
      </c>
      <c r="B154" s="78">
        <v>244</v>
      </c>
      <c r="C154" s="78">
        <v>341</v>
      </c>
      <c r="D154" s="3">
        <f t="shared" ref="D154:D160" si="11">E154+F154</f>
        <v>0</v>
      </c>
      <c r="E154" s="1"/>
      <c r="F154" s="1"/>
      <c r="G154" s="3">
        <f t="shared" ref="G154:G160" si="12">H154+I154</f>
        <v>0</v>
      </c>
      <c r="H154" s="1"/>
      <c r="I154" s="1"/>
      <c r="J154" s="34"/>
      <c r="K154" s="34"/>
      <c r="L154" s="34"/>
    </row>
    <row r="155" spans="1:12" ht="54" x14ac:dyDescent="0.3">
      <c r="A155" s="76" t="s">
        <v>38</v>
      </c>
      <c r="B155" s="78">
        <v>244</v>
      </c>
      <c r="C155" s="78">
        <v>342</v>
      </c>
      <c r="D155" s="3">
        <f t="shared" si="11"/>
        <v>0</v>
      </c>
      <c r="E155" s="1"/>
      <c r="F155" s="1"/>
      <c r="G155" s="3">
        <f t="shared" si="12"/>
        <v>0</v>
      </c>
      <c r="H155" s="1"/>
      <c r="I155" s="1"/>
      <c r="J155" s="34"/>
      <c r="K155" s="34"/>
      <c r="L155" s="34"/>
    </row>
    <row r="156" spans="1:12" ht="72" x14ac:dyDescent="0.3">
      <c r="A156" s="76" t="s">
        <v>39</v>
      </c>
      <c r="B156" s="78">
        <v>244</v>
      </c>
      <c r="C156" s="78">
        <v>343</v>
      </c>
      <c r="D156" s="3">
        <f t="shared" si="11"/>
        <v>0</v>
      </c>
      <c r="E156" s="1"/>
      <c r="F156" s="1"/>
      <c r="G156" s="3">
        <f t="shared" si="12"/>
        <v>0</v>
      </c>
      <c r="H156" s="1"/>
      <c r="I156" s="1"/>
      <c r="J156" s="34"/>
      <c r="K156" s="34"/>
      <c r="L156" s="34"/>
    </row>
    <row r="157" spans="1:12" ht="72" x14ac:dyDescent="0.3">
      <c r="A157" s="76" t="s">
        <v>40</v>
      </c>
      <c r="B157" s="78">
        <v>244</v>
      </c>
      <c r="C157" s="78">
        <v>344</v>
      </c>
      <c r="D157" s="3">
        <f t="shared" si="11"/>
        <v>0</v>
      </c>
      <c r="E157" s="1"/>
      <c r="F157" s="1"/>
      <c r="G157" s="3">
        <f t="shared" si="12"/>
        <v>0</v>
      </c>
      <c r="H157" s="1"/>
      <c r="I157" s="1"/>
      <c r="J157" s="34"/>
      <c r="K157" s="34"/>
      <c r="L157" s="34"/>
    </row>
    <row r="158" spans="1:12" ht="54" x14ac:dyDescent="0.3">
      <c r="A158" s="76" t="s">
        <v>41</v>
      </c>
      <c r="B158" s="78">
        <v>244</v>
      </c>
      <c r="C158" s="78">
        <v>345</v>
      </c>
      <c r="D158" s="3">
        <f t="shared" si="11"/>
        <v>0</v>
      </c>
      <c r="E158" s="1"/>
      <c r="F158" s="1"/>
      <c r="G158" s="3">
        <f t="shared" si="12"/>
        <v>0</v>
      </c>
      <c r="H158" s="1"/>
      <c r="I158" s="1"/>
      <c r="J158" s="34"/>
      <c r="K158" s="34"/>
      <c r="L158" s="34"/>
    </row>
    <row r="159" spans="1:12" ht="72" x14ac:dyDescent="0.3">
      <c r="A159" s="76" t="s">
        <v>42</v>
      </c>
      <c r="B159" s="78">
        <v>244</v>
      </c>
      <c r="C159" s="78">
        <v>346</v>
      </c>
      <c r="D159" s="3">
        <f t="shared" si="11"/>
        <v>0</v>
      </c>
      <c r="E159" s="1"/>
      <c r="F159" s="1"/>
      <c r="G159" s="3">
        <f t="shared" si="12"/>
        <v>0</v>
      </c>
      <c r="H159" s="1"/>
      <c r="I159" s="1"/>
      <c r="J159" s="34"/>
      <c r="K159" s="34"/>
      <c r="L159" s="34"/>
    </row>
    <row r="160" spans="1:12" ht="108" x14ac:dyDescent="0.3">
      <c r="A160" s="76" t="s">
        <v>43</v>
      </c>
      <c r="B160" s="78">
        <v>244</v>
      </c>
      <c r="C160" s="78">
        <v>349</v>
      </c>
      <c r="D160" s="3">
        <f t="shared" si="11"/>
        <v>0</v>
      </c>
      <c r="E160" s="1"/>
      <c r="F160" s="1"/>
      <c r="G160" s="3">
        <f t="shared" si="12"/>
        <v>0</v>
      </c>
      <c r="H160" s="1"/>
      <c r="I160" s="1"/>
      <c r="J160" s="34"/>
      <c r="K160" s="34"/>
      <c r="L160" s="34"/>
    </row>
    <row r="161" spans="1:12" ht="17.399999999999999" customHeight="1" x14ac:dyDescent="0.3">
      <c r="A161" s="565" t="s">
        <v>201</v>
      </c>
      <c r="B161" s="566"/>
      <c r="C161" s="566"/>
      <c r="D161" s="566"/>
      <c r="E161" s="566"/>
      <c r="F161" s="566"/>
      <c r="G161" s="566"/>
      <c r="H161" s="566"/>
      <c r="I161" s="566"/>
      <c r="J161" s="70"/>
      <c r="K161" s="70"/>
      <c r="L161" s="70"/>
    </row>
    <row r="162" spans="1:12" ht="18" x14ac:dyDescent="0.3">
      <c r="A162" s="76" t="s">
        <v>8</v>
      </c>
      <c r="B162" s="78" t="s">
        <v>5</v>
      </c>
      <c r="C162" s="78">
        <v>200</v>
      </c>
      <c r="D162" s="3">
        <f>E162+F162</f>
        <v>0</v>
      </c>
      <c r="E162" s="1">
        <f>E164+E167+E186</f>
        <v>0</v>
      </c>
      <c r="F162" s="1">
        <f>F164+F167+F186</f>
        <v>0</v>
      </c>
      <c r="G162" s="3">
        <f>H162+I162</f>
        <v>0</v>
      </c>
      <c r="H162" s="1">
        <f>H164+H167+H186</f>
        <v>0</v>
      </c>
      <c r="I162" s="1">
        <f>I164+I167+I186</f>
        <v>0</v>
      </c>
      <c r="J162" s="34"/>
      <c r="K162" s="34"/>
      <c r="L162" s="34"/>
    </row>
    <row r="163" spans="1:12" ht="18" x14ac:dyDescent="0.3">
      <c r="A163" s="76" t="s">
        <v>9</v>
      </c>
      <c r="B163" s="78"/>
      <c r="C163" s="78"/>
      <c r="D163" s="3"/>
      <c r="E163" s="1"/>
      <c r="F163" s="1"/>
      <c r="G163" s="3"/>
      <c r="H163" s="1"/>
      <c r="I163" s="1"/>
      <c r="J163" s="34"/>
      <c r="K163" s="34"/>
      <c r="L163" s="34"/>
    </row>
    <row r="164" spans="1:12" ht="72" x14ac:dyDescent="0.3">
      <c r="A164" s="76" t="s">
        <v>10</v>
      </c>
      <c r="B164" s="78" t="s">
        <v>5</v>
      </c>
      <c r="C164" s="78">
        <v>210</v>
      </c>
      <c r="D164" s="3">
        <f>E164+F164</f>
        <v>0</v>
      </c>
      <c r="E164" s="1">
        <f>E166</f>
        <v>0</v>
      </c>
      <c r="F164" s="1">
        <f>F166</f>
        <v>0</v>
      </c>
      <c r="G164" s="3">
        <f>H164+I164</f>
        <v>0</v>
      </c>
      <c r="H164" s="1">
        <f>H166</f>
        <v>0</v>
      </c>
      <c r="I164" s="1">
        <f>I166</f>
        <v>0</v>
      </c>
      <c r="J164" s="34"/>
      <c r="K164" s="34"/>
      <c r="L164" s="34"/>
    </row>
    <row r="165" spans="1:12" ht="18" x14ac:dyDescent="0.3">
      <c r="A165" s="76" t="s">
        <v>9</v>
      </c>
      <c r="B165" s="78"/>
      <c r="C165" s="78"/>
      <c r="D165" s="3"/>
      <c r="E165" s="1"/>
      <c r="F165" s="1"/>
      <c r="G165" s="3"/>
      <c r="H165" s="1"/>
      <c r="I165" s="1"/>
      <c r="J165" s="34"/>
      <c r="K165" s="34"/>
      <c r="L165" s="34"/>
    </row>
    <row r="166" spans="1:12" ht="72" x14ac:dyDescent="0.3">
      <c r="A166" s="76" t="s">
        <v>200</v>
      </c>
      <c r="B166" s="78">
        <v>244</v>
      </c>
      <c r="C166" s="78">
        <v>214</v>
      </c>
      <c r="D166" s="3">
        <f>E166+F166</f>
        <v>0</v>
      </c>
      <c r="E166" s="64">
        <f>E36-E124</f>
        <v>0</v>
      </c>
      <c r="F166" s="1"/>
      <c r="G166" s="3">
        <f>H166+I166</f>
        <v>0</v>
      </c>
      <c r="H166" s="64">
        <f>H36-H124</f>
        <v>0</v>
      </c>
      <c r="I166" s="1"/>
      <c r="J166" s="34"/>
      <c r="K166" s="34"/>
      <c r="L166" s="34"/>
    </row>
    <row r="167" spans="1:12" ht="36" x14ac:dyDescent="0.3">
      <c r="A167" s="76" t="s">
        <v>14</v>
      </c>
      <c r="B167" s="78" t="s">
        <v>5</v>
      </c>
      <c r="C167" s="78">
        <v>220</v>
      </c>
      <c r="D167" s="3">
        <f>E167+F167</f>
        <v>0</v>
      </c>
      <c r="E167" s="1">
        <f>E169+E170+E171+E178+E179+E182+E185</f>
        <v>0</v>
      </c>
      <c r="F167" s="1">
        <f>F169+F170+F171+F178+F179+F182+F185</f>
        <v>0</v>
      </c>
      <c r="G167" s="3">
        <f>H167+I167</f>
        <v>0</v>
      </c>
      <c r="H167" s="1">
        <f>H169+H170+H171+H178+H179+H182+H185</f>
        <v>0</v>
      </c>
      <c r="I167" s="1">
        <f>I169+I170+I171+I178+I179+I182+I185</f>
        <v>0</v>
      </c>
      <c r="J167" s="34"/>
      <c r="K167" s="34"/>
      <c r="L167" s="34"/>
    </row>
    <row r="168" spans="1:12" ht="18" x14ac:dyDescent="0.3">
      <c r="A168" s="76" t="s">
        <v>9</v>
      </c>
      <c r="B168" s="78"/>
      <c r="C168" s="78"/>
      <c r="D168" s="3"/>
      <c r="E168" s="1"/>
      <c r="F168" s="1"/>
      <c r="G168" s="3"/>
      <c r="H168" s="1"/>
      <c r="I168" s="1"/>
      <c r="J168" s="34"/>
      <c r="K168" s="34"/>
      <c r="L168" s="34"/>
    </row>
    <row r="169" spans="1:12" ht="18" x14ac:dyDescent="0.3">
      <c r="A169" s="76" t="s">
        <v>15</v>
      </c>
      <c r="B169" s="78">
        <v>244</v>
      </c>
      <c r="C169" s="78">
        <v>221</v>
      </c>
      <c r="D169" s="3">
        <f>E169+F169</f>
        <v>0</v>
      </c>
      <c r="E169" s="1">
        <f>E39-E127</f>
        <v>0</v>
      </c>
      <c r="F169" s="1"/>
      <c r="G169" s="3">
        <f>H169+I169</f>
        <v>0</v>
      </c>
      <c r="H169" s="1">
        <f>H39-H127</f>
        <v>0</v>
      </c>
      <c r="I169" s="1"/>
      <c r="J169" s="34"/>
      <c r="K169" s="34"/>
      <c r="L169" s="34"/>
    </row>
    <row r="170" spans="1:12" ht="36" x14ac:dyDescent="0.3">
      <c r="A170" s="76" t="s">
        <v>16</v>
      </c>
      <c r="B170" s="78">
        <v>244</v>
      </c>
      <c r="C170" s="78">
        <v>222</v>
      </c>
      <c r="D170" s="3">
        <f>E170+F170</f>
        <v>0</v>
      </c>
      <c r="E170" s="64">
        <f>E42-E128</f>
        <v>0</v>
      </c>
      <c r="F170" s="1"/>
      <c r="G170" s="3">
        <f>H170+I170</f>
        <v>0</v>
      </c>
      <c r="H170" s="64">
        <f>H42-H128</f>
        <v>0</v>
      </c>
      <c r="I170" s="1"/>
      <c r="J170" s="34"/>
      <c r="K170" s="34"/>
      <c r="L170" s="34"/>
    </row>
    <row r="171" spans="1:12" ht="36" x14ac:dyDescent="0.3">
      <c r="A171" s="76" t="s">
        <v>17</v>
      </c>
      <c r="B171" s="78" t="s">
        <v>5</v>
      </c>
      <c r="C171" s="78">
        <v>223</v>
      </c>
      <c r="D171" s="3">
        <f>E171+F171</f>
        <v>0</v>
      </c>
      <c r="E171" s="1">
        <f>E173+E174+E175+E176+E177</f>
        <v>0</v>
      </c>
      <c r="F171" s="1">
        <f>F173+F174+F175+F176+F177</f>
        <v>0</v>
      </c>
      <c r="G171" s="3">
        <f>H171+I171</f>
        <v>0</v>
      </c>
      <c r="H171" s="1">
        <f>H173+H174+H175+H176+H177</f>
        <v>0</v>
      </c>
      <c r="I171" s="1">
        <f>I173+I174+I175+I176+I177</f>
        <v>0</v>
      </c>
      <c r="J171" s="34"/>
      <c r="K171" s="34"/>
      <c r="L171" s="34"/>
    </row>
    <row r="172" spans="1:12" ht="18" x14ac:dyDescent="0.3">
      <c r="A172" s="76" t="s">
        <v>6</v>
      </c>
      <c r="B172" s="78"/>
      <c r="C172" s="78"/>
      <c r="D172" s="3"/>
      <c r="E172" s="1"/>
      <c r="F172" s="1"/>
      <c r="G172" s="3"/>
      <c r="H172" s="1"/>
      <c r="I172" s="1"/>
      <c r="J172" s="34"/>
      <c r="K172" s="34"/>
      <c r="L172" s="34"/>
    </row>
    <row r="173" spans="1:12" ht="54" x14ac:dyDescent="0.3">
      <c r="A173" s="76" t="s">
        <v>18</v>
      </c>
      <c r="B173" s="78">
        <v>244</v>
      </c>
      <c r="C173" s="78">
        <v>223</v>
      </c>
      <c r="D173" s="3">
        <f t="shared" ref="D173:D178" si="13">E173+F173</f>
        <v>0</v>
      </c>
      <c r="E173" s="1">
        <f t="shared" ref="E173:E178" si="14">E45-E131</f>
        <v>0</v>
      </c>
      <c r="F173" s="1"/>
      <c r="G173" s="3">
        <f t="shared" ref="G173:G178" si="15">H173+I173</f>
        <v>0</v>
      </c>
      <c r="H173" s="1">
        <f t="shared" ref="H173:H178" si="16">H45-H131</f>
        <v>0</v>
      </c>
      <c r="I173" s="1"/>
      <c r="J173" s="34"/>
      <c r="K173" s="34"/>
      <c r="L173" s="34"/>
    </row>
    <row r="174" spans="1:12" ht="36" x14ac:dyDescent="0.3">
      <c r="A174" s="76" t="s">
        <v>19</v>
      </c>
      <c r="B174" s="78">
        <v>244</v>
      </c>
      <c r="C174" s="78">
        <v>223</v>
      </c>
      <c r="D174" s="3">
        <f t="shared" si="13"/>
        <v>0</v>
      </c>
      <c r="E174" s="1">
        <f t="shared" si="14"/>
        <v>0</v>
      </c>
      <c r="F174" s="1"/>
      <c r="G174" s="3">
        <f t="shared" si="15"/>
        <v>0</v>
      </c>
      <c r="H174" s="1">
        <f t="shared" si="16"/>
        <v>0</v>
      </c>
      <c r="I174" s="1"/>
      <c r="J174" s="34"/>
      <c r="K174" s="34"/>
      <c r="L174" s="34"/>
    </row>
    <row r="175" spans="1:12" ht="54" x14ac:dyDescent="0.3">
      <c r="A175" s="76" t="s">
        <v>20</v>
      </c>
      <c r="B175" s="78">
        <v>244</v>
      </c>
      <c r="C175" s="78">
        <v>223</v>
      </c>
      <c r="D175" s="3">
        <f t="shared" si="13"/>
        <v>0</v>
      </c>
      <c r="E175" s="1">
        <f t="shared" si="14"/>
        <v>0</v>
      </c>
      <c r="F175" s="1"/>
      <c r="G175" s="3">
        <f t="shared" si="15"/>
        <v>0</v>
      </c>
      <c r="H175" s="1">
        <f t="shared" si="16"/>
        <v>0</v>
      </c>
      <c r="I175" s="1"/>
      <c r="J175" s="34"/>
      <c r="K175" s="34"/>
      <c r="L175" s="34"/>
    </row>
    <row r="176" spans="1:12" ht="72" x14ac:dyDescent="0.3">
      <c r="A176" s="76" t="s">
        <v>21</v>
      </c>
      <c r="B176" s="78">
        <v>244</v>
      </c>
      <c r="C176" s="78">
        <v>223</v>
      </c>
      <c r="D176" s="3">
        <f t="shared" si="13"/>
        <v>0</v>
      </c>
      <c r="E176" s="1">
        <f t="shared" si="14"/>
        <v>0</v>
      </c>
      <c r="F176" s="1"/>
      <c r="G176" s="3">
        <f t="shared" si="15"/>
        <v>0</v>
      </c>
      <c r="H176" s="1">
        <f t="shared" si="16"/>
        <v>0</v>
      </c>
      <c r="I176" s="1"/>
      <c r="J176" s="34"/>
      <c r="K176" s="34"/>
      <c r="L176" s="34"/>
    </row>
    <row r="177" spans="1:12" ht="54" x14ac:dyDescent="0.3">
      <c r="A177" s="76" t="s">
        <v>22</v>
      </c>
      <c r="B177" s="78">
        <v>244</v>
      </c>
      <c r="C177" s="78">
        <v>223</v>
      </c>
      <c r="D177" s="3">
        <f t="shared" si="13"/>
        <v>0</v>
      </c>
      <c r="E177" s="1">
        <f t="shared" si="14"/>
        <v>0</v>
      </c>
      <c r="F177" s="1"/>
      <c r="G177" s="3">
        <f t="shared" si="15"/>
        <v>0</v>
      </c>
      <c r="H177" s="1">
        <f t="shared" si="16"/>
        <v>0</v>
      </c>
      <c r="I177" s="1"/>
      <c r="J177" s="34"/>
      <c r="K177" s="34"/>
      <c r="L177" s="34"/>
    </row>
    <row r="178" spans="1:12" ht="162" x14ac:dyDescent="0.3">
      <c r="A178" s="76" t="s">
        <v>23</v>
      </c>
      <c r="B178" s="78">
        <v>244</v>
      </c>
      <c r="C178" s="78">
        <v>224</v>
      </c>
      <c r="D178" s="3">
        <f t="shared" si="13"/>
        <v>0</v>
      </c>
      <c r="E178" s="1">
        <f t="shared" si="14"/>
        <v>0</v>
      </c>
      <c r="F178" s="1"/>
      <c r="G178" s="3">
        <f t="shared" si="15"/>
        <v>0</v>
      </c>
      <c r="H178" s="1">
        <f t="shared" si="16"/>
        <v>0</v>
      </c>
      <c r="I178" s="1"/>
      <c r="J178" s="34"/>
      <c r="K178" s="34"/>
      <c r="L178" s="34"/>
    </row>
    <row r="179" spans="1:12" ht="54" x14ac:dyDescent="0.3">
      <c r="A179" s="76" t="s">
        <v>24</v>
      </c>
      <c r="B179" s="78" t="s">
        <v>5</v>
      </c>
      <c r="C179" s="78">
        <v>225</v>
      </c>
      <c r="D179" s="1">
        <f t="shared" ref="D179:I179" si="17">D180+D181</f>
        <v>0</v>
      </c>
      <c r="E179" s="1">
        <f t="shared" si="17"/>
        <v>0</v>
      </c>
      <c r="F179" s="1">
        <f t="shared" si="17"/>
        <v>0</v>
      </c>
      <c r="G179" s="1">
        <f t="shared" si="17"/>
        <v>0</v>
      </c>
      <c r="H179" s="1">
        <f t="shared" si="17"/>
        <v>0</v>
      </c>
      <c r="I179" s="1">
        <f t="shared" si="17"/>
        <v>0</v>
      </c>
      <c r="J179" s="34"/>
      <c r="K179" s="34"/>
      <c r="L179" s="34"/>
    </row>
    <row r="180" spans="1:12" ht="18" x14ac:dyDescent="0.3">
      <c r="A180" s="385" t="s">
        <v>6</v>
      </c>
      <c r="B180" s="78">
        <v>243</v>
      </c>
      <c r="C180" s="78">
        <v>225</v>
      </c>
      <c r="D180" s="3">
        <f t="shared" ref="D180:D190" si="18">E180+F180</f>
        <v>0</v>
      </c>
      <c r="E180" s="1">
        <f>E52-E138</f>
        <v>0</v>
      </c>
      <c r="F180" s="1"/>
      <c r="G180" s="3">
        <f t="shared" ref="G180:G190" si="19">H180+I180</f>
        <v>0</v>
      </c>
      <c r="H180" s="1">
        <f>H52-H138</f>
        <v>0</v>
      </c>
      <c r="I180" s="1"/>
      <c r="J180" s="34"/>
      <c r="K180" s="34"/>
      <c r="L180" s="34"/>
    </row>
    <row r="181" spans="1:12" ht="18" x14ac:dyDescent="0.3">
      <c r="A181" s="385"/>
      <c r="B181" s="78">
        <v>244</v>
      </c>
      <c r="C181" s="78">
        <v>225</v>
      </c>
      <c r="D181" s="3">
        <f t="shared" si="18"/>
        <v>0</v>
      </c>
      <c r="E181" s="1">
        <f>E53-E139</f>
        <v>0</v>
      </c>
      <c r="F181" s="1"/>
      <c r="G181" s="3">
        <f t="shared" si="19"/>
        <v>0</v>
      </c>
      <c r="H181" s="1">
        <f>H53-H139</f>
        <v>0</v>
      </c>
      <c r="I181" s="1"/>
      <c r="J181" s="34"/>
      <c r="K181" s="34"/>
      <c r="L181" s="34"/>
    </row>
    <row r="182" spans="1:12" ht="36" x14ac:dyDescent="0.3">
      <c r="A182" s="76" t="s">
        <v>58</v>
      </c>
      <c r="B182" s="78" t="s">
        <v>5</v>
      </c>
      <c r="C182" s="78">
        <v>226</v>
      </c>
      <c r="D182" s="3">
        <f t="shared" si="18"/>
        <v>0</v>
      </c>
      <c r="E182" s="1">
        <f>E183+E184</f>
        <v>0</v>
      </c>
      <c r="F182" s="1">
        <f>F183+F184</f>
        <v>0</v>
      </c>
      <c r="G182" s="3">
        <f t="shared" si="19"/>
        <v>0</v>
      </c>
      <c r="H182" s="1">
        <f>H183+H184</f>
        <v>0</v>
      </c>
      <c r="I182" s="1">
        <f>I183+I184</f>
        <v>0</v>
      </c>
      <c r="J182" s="34"/>
      <c r="K182" s="34"/>
      <c r="L182" s="34"/>
    </row>
    <row r="183" spans="1:12" ht="18" x14ac:dyDescent="0.3">
      <c r="A183" s="385" t="s">
        <v>6</v>
      </c>
      <c r="B183" s="78">
        <v>243</v>
      </c>
      <c r="C183" s="78">
        <v>226</v>
      </c>
      <c r="D183" s="3">
        <f t="shared" si="18"/>
        <v>0</v>
      </c>
      <c r="E183" s="1">
        <f>E58-E141</f>
        <v>0</v>
      </c>
      <c r="F183" s="1"/>
      <c r="G183" s="3">
        <f t="shared" si="19"/>
        <v>0</v>
      </c>
      <c r="H183" s="1">
        <f>H58-H141</f>
        <v>0</v>
      </c>
      <c r="I183" s="1"/>
      <c r="J183" s="34"/>
      <c r="K183" s="34"/>
      <c r="L183" s="34"/>
    </row>
    <row r="184" spans="1:12" ht="18" x14ac:dyDescent="0.3">
      <c r="A184" s="385"/>
      <c r="B184" s="78">
        <v>244</v>
      </c>
      <c r="C184" s="78">
        <v>226</v>
      </c>
      <c r="D184" s="3">
        <f t="shared" si="18"/>
        <v>0</v>
      </c>
      <c r="E184" s="1">
        <f>E59-E142</f>
        <v>0</v>
      </c>
      <c r="F184" s="1"/>
      <c r="G184" s="3">
        <f t="shared" si="19"/>
        <v>0</v>
      </c>
      <c r="H184" s="1">
        <f>H59-H142</f>
        <v>0</v>
      </c>
      <c r="I184" s="1"/>
      <c r="J184" s="34"/>
      <c r="K184" s="34"/>
      <c r="L184" s="34"/>
    </row>
    <row r="185" spans="1:12" ht="18" x14ac:dyDescent="0.3">
      <c r="A185" s="76" t="s">
        <v>25</v>
      </c>
      <c r="B185" s="78">
        <v>244</v>
      </c>
      <c r="C185" s="78">
        <v>227</v>
      </c>
      <c r="D185" s="3">
        <f t="shared" si="18"/>
        <v>0</v>
      </c>
      <c r="E185" s="1">
        <f>E60-E143</f>
        <v>0</v>
      </c>
      <c r="F185" s="1"/>
      <c r="G185" s="3">
        <f t="shared" si="19"/>
        <v>0</v>
      </c>
      <c r="H185" s="1">
        <f>H60-H143</f>
        <v>0</v>
      </c>
      <c r="I185" s="1"/>
      <c r="J185" s="34"/>
      <c r="K185" s="34"/>
      <c r="L185" s="34"/>
    </row>
    <row r="186" spans="1:12" ht="18" x14ac:dyDescent="0.3">
      <c r="A186" s="76" t="s">
        <v>30</v>
      </c>
      <c r="B186" s="78" t="s">
        <v>5</v>
      </c>
      <c r="C186" s="78">
        <v>290</v>
      </c>
      <c r="D186" s="3">
        <f t="shared" si="18"/>
        <v>0</v>
      </c>
      <c r="E186" s="1">
        <f>E188+E189</f>
        <v>0</v>
      </c>
      <c r="F186" s="1">
        <f>F188+F189</f>
        <v>0</v>
      </c>
      <c r="G186" s="3">
        <f t="shared" si="19"/>
        <v>0</v>
      </c>
      <c r="H186" s="1">
        <f>H188+H189</f>
        <v>0</v>
      </c>
      <c r="I186" s="1">
        <f>I188+I189</f>
        <v>0</v>
      </c>
      <c r="J186" s="34"/>
      <c r="K186" s="34"/>
      <c r="L186" s="34"/>
    </row>
    <row r="187" spans="1:12" ht="18" x14ac:dyDescent="0.3">
      <c r="A187" s="76" t="s">
        <v>9</v>
      </c>
      <c r="B187" s="78"/>
      <c r="C187" s="78"/>
      <c r="D187" s="3">
        <f t="shared" si="18"/>
        <v>0</v>
      </c>
      <c r="E187" s="1"/>
      <c r="F187" s="1"/>
      <c r="G187" s="3">
        <f t="shared" si="19"/>
        <v>0</v>
      </c>
      <c r="H187" s="1"/>
      <c r="I187" s="1"/>
      <c r="J187" s="34"/>
      <c r="K187" s="34"/>
      <c r="L187" s="34"/>
    </row>
    <row r="188" spans="1:12" ht="54" x14ac:dyDescent="0.3">
      <c r="A188" s="76" t="s">
        <v>34</v>
      </c>
      <c r="B188" s="78">
        <v>244</v>
      </c>
      <c r="C188" s="78">
        <v>296</v>
      </c>
      <c r="D188" s="3">
        <f t="shared" si="18"/>
        <v>0</v>
      </c>
      <c r="E188" s="1">
        <f>E77-E146</f>
        <v>0</v>
      </c>
      <c r="F188" s="1"/>
      <c r="G188" s="3">
        <f t="shared" si="19"/>
        <v>0</v>
      </c>
      <c r="H188" s="1">
        <f>H77-H146</f>
        <v>0</v>
      </c>
      <c r="I188" s="1"/>
      <c r="J188" s="34"/>
      <c r="K188" s="34"/>
      <c r="L188" s="34"/>
    </row>
    <row r="189" spans="1:12" ht="54" x14ac:dyDescent="0.3">
      <c r="A189" s="76" t="s">
        <v>35</v>
      </c>
      <c r="B189" s="78">
        <v>244</v>
      </c>
      <c r="C189" s="78">
        <v>297</v>
      </c>
      <c r="D189" s="3">
        <f t="shared" si="18"/>
        <v>0</v>
      </c>
      <c r="E189" s="1">
        <f>E83-E147</f>
        <v>0</v>
      </c>
      <c r="F189" s="1"/>
      <c r="G189" s="3">
        <f t="shared" si="19"/>
        <v>0</v>
      </c>
      <c r="H189" s="1">
        <f>H83-H147</f>
        <v>0</v>
      </c>
      <c r="I189" s="1"/>
      <c r="J189" s="34"/>
      <c r="K189" s="34"/>
      <c r="L189" s="34"/>
    </row>
    <row r="190" spans="1:12" ht="54" x14ac:dyDescent="0.3">
      <c r="A190" s="76" t="s">
        <v>59</v>
      </c>
      <c r="B190" s="78" t="s">
        <v>5</v>
      </c>
      <c r="C190" s="78">
        <v>300</v>
      </c>
      <c r="D190" s="3">
        <f t="shared" si="18"/>
        <v>0</v>
      </c>
      <c r="E190" s="1">
        <f>E192+E194+E193</f>
        <v>0</v>
      </c>
      <c r="F190" s="1">
        <f>F192+F194+F193</f>
        <v>0</v>
      </c>
      <c r="G190" s="3">
        <f t="shared" si="19"/>
        <v>0</v>
      </c>
      <c r="H190" s="1">
        <f>H192+H194+H193</f>
        <v>0</v>
      </c>
      <c r="I190" s="1">
        <f>I192+I194+I193</f>
        <v>0</v>
      </c>
      <c r="J190" s="34"/>
      <c r="K190" s="34"/>
      <c r="L190" s="34"/>
    </row>
    <row r="191" spans="1:12" ht="18" x14ac:dyDescent="0.3">
      <c r="A191" s="76" t="s">
        <v>9</v>
      </c>
      <c r="B191" s="78"/>
      <c r="C191" s="78"/>
      <c r="D191" s="3"/>
      <c r="E191" s="1"/>
      <c r="F191" s="1"/>
      <c r="G191" s="3"/>
      <c r="H191" s="1"/>
      <c r="I191" s="1"/>
      <c r="J191" s="34"/>
      <c r="K191" s="34"/>
      <c r="L191" s="34"/>
    </row>
    <row r="192" spans="1:12" ht="54" x14ac:dyDescent="0.3">
      <c r="A192" s="76" t="s">
        <v>36</v>
      </c>
      <c r="B192" s="78">
        <v>244</v>
      </c>
      <c r="C192" s="78">
        <v>310</v>
      </c>
      <c r="D192" s="3">
        <f>E192+F192</f>
        <v>0</v>
      </c>
      <c r="E192" s="1">
        <f>E87-E150</f>
        <v>0</v>
      </c>
      <c r="F192" s="1"/>
      <c r="G192" s="3">
        <f>H192+I192</f>
        <v>0</v>
      </c>
      <c r="H192" s="1">
        <f>H87-H150</f>
        <v>0</v>
      </c>
      <c r="I192" s="1"/>
      <c r="J192" s="34"/>
      <c r="K192" s="34"/>
      <c r="L192" s="34"/>
    </row>
    <row r="193" spans="1:12" ht="72" x14ac:dyDescent="0.3">
      <c r="A193" s="76" t="s">
        <v>68</v>
      </c>
      <c r="B193" s="78">
        <v>244</v>
      </c>
      <c r="C193" s="78">
        <v>320</v>
      </c>
      <c r="D193" s="3">
        <f>E193+F193</f>
        <v>0</v>
      </c>
      <c r="E193" s="1">
        <f>E88-E151</f>
        <v>0</v>
      </c>
      <c r="F193" s="1"/>
      <c r="G193" s="3">
        <f>H193+I193</f>
        <v>0</v>
      </c>
      <c r="H193" s="1">
        <f>H88-H151</f>
        <v>0</v>
      </c>
      <c r="I193" s="1"/>
      <c r="J193" s="34"/>
      <c r="K193" s="34"/>
      <c r="L193" s="34"/>
    </row>
    <row r="194" spans="1:12" ht="72" x14ac:dyDescent="0.3">
      <c r="A194" s="76" t="s">
        <v>60</v>
      </c>
      <c r="B194" s="78" t="s">
        <v>5</v>
      </c>
      <c r="C194" s="78">
        <v>340</v>
      </c>
      <c r="D194" s="3">
        <f>E194+F194</f>
        <v>0</v>
      </c>
      <c r="E194" s="1">
        <f>E196+E197+E198+E199+E200+E201+E202</f>
        <v>0</v>
      </c>
      <c r="F194" s="1">
        <f>F196+F197+F198+F199+F200+F201+F202</f>
        <v>0</v>
      </c>
      <c r="G194" s="3">
        <f>H194+I194</f>
        <v>0</v>
      </c>
      <c r="H194" s="1">
        <f>H196+H197+H198+H199+H200+H201+H202</f>
        <v>0</v>
      </c>
      <c r="I194" s="1">
        <f>I196+I197+I198+I199+I200+I201+I202</f>
        <v>0</v>
      </c>
      <c r="J194" s="34"/>
      <c r="K194" s="34"/>
      <c r="L194" s="34"/>
    </row>
    <row r="195" spans="1:12" ht="18" x14ac:dyDescent="0.3">
      <c r="A195" s="76" t="s">
        <v>6</v>
      </c>
      <c r="B195" s="78"/>
      <c r="C195" s="78"/>
      <c r="D195" s="3"/>
      <c r="E195" s="1"/>
      <c r="F195" s="1"/>
      <c r="G195" s="3"/>
      <c r="H195" s="1"/>
      <c r="I195" s="1"/>
      <c r="J195" s="34"/>
      <c r="K195" s="34"/>
      <c r="L195" s="34"/>
    </row>
    <row r="196" spans="1:12" ht="126" x14ac:dyDescent="0.3">
      <c r="A196" s="76" t="s">
        <v>37</v>
      </c>
      <c r="B196" s="78">
        <v>244</v>
      </c>
      <c r="C196" s="78">
        <v>341</v>
      </c>
      <c r="D196" s="3">
        <f t="shared" ref="D196:D202" si="20">E196+F196</f>
        <v>0</v>
      </c>
      <c r="E196" s="1">
        <f>E91-E154</f>
        <v>0</v>
      </c>
      <c r="F196" s="1"/>
      <c r="G196" s="3">
        <f t="shared" ref="G196:G202" si="21">H196+I196</f>
        <v>0</v>
      </c>
      <c r="H196" s="1">
        <f>H91-H154</f>
        <v>0</v>
      </c>
      <c r="I196" s="1"/>
      <c r="J196" s="34"/>
      <c r="K196" s="34"/>
      <c r="L196" s="34"/>
    </row>
    <row r="197" spans="1:12" ht="54" x14ac:dyDescent="0.3">
      <c r="A197" s="76" t="s">
        <v>38</v>
      </c>
      <c r="B197" s="78">
        <v>244</v>
      </c>
      <c r="C197" s="78">
        <v>342</v>
      </c>
      <c r="D197" s="3">
        <f t="shared" si="20"/>
        <v>0</v>
      </c>
      <c r="E197" s="1">
        <f t="shared" ref="E197:E202" si="22">E92-E155</f>
        <v>0</v>
      </c>
      <c r="F197" s="1"/>
      <c r="G197" s="3">
        <f t="shared" si="21"/>
        <v>0</v>
      </c>
      <c r="H197" s="1">
        <f t="shared" ref="H197:H202" si="23">H92-H155</f>
        <v>0</v>
      </c>
      <c r="I197" s="1"/>
      <c r="J197" s="34"/>
      <c r="K197" s="34"/>
      <c r="L197" s="34"/>
    </row>
    <row r="198" spans="1:12" ht="72" x14ac:dyDescent="0.3">
      <c r="A198" s="76" t="s">
        <v>39</v>
      </c>
      <c r="B198" s="78">
        <v>244</v>
      </c>
      <c r="C198" s="78">
        <v>343</v>
      </c>
      <c r="D198" s="3">
        <f t="shared" si="20"/>
        <v>0</v>
      </c>
      <c r="E198" s="1">
        <f t="shared" si="22"/>
        <v>0</v>
      </c>
      <c r="F198" s="1"/>
      <c r="G198" s="3">
        <f t="shared" si="21"/>
        <v>0</v>
      </c>
      <c r="H198" s="1">
        <f t="shared" si="23"/>
        <v>0</v>
      </c>
      <c r="I198" s="1"/>
      <c r="J198" s="34"/>
      <c r="K198" s="34"/>
      <c r="L198" s="34"/>
    </row>
    <row r="199" spans="1:12" ht="72" x14ac:dyDescent="0.3">
      <c r="A199" s="76" t="s">
        <v>40</v>
      </c>
      <c r="B199" s="78">
        <v>244</v>
      </c>
      <c r="C199" s="78">
        <v>344</v>
      </c>
      <c r="D199" s="3">
        <f t="shared" si="20"/>
        <v>0</v>
      </c>
      <c r="E199" s="1">
        <f t="shared" si="22"/>
        <v>0</v>
      </c>
      <c r="F199" s="1"/>
      <c r="G199" s="3">
        <f t="shared" si="21"/>
        <v>0</v>
      </c>
      <c r="H199" s="1">
        <f t="shared" si="23"/>
        <v>0</v>
      </c>
      <c r="I199" s="1"/>
      <c r="J199" s="34"/>
      <c r="K199" s="34"/>
      <c r="L199" s="34"/>
    </row>
    <row r="200" spans="1:12" ht="54" x14ac:dyDescent="0.3">
      <c r="A200" s="76" t="s">
        <v>41</v>
      </c>
      <c r="B200" s="78">
        <v>244</v>
      </c>
      <c r="C200" s="78">
        <v>345</v>
      </c>
      <c r="D200" s="3">
        <f t="shared" si="20"/>
        <v>0</v>
      </c>
      <c r="E200" s="1">
        <f t="shared" si="22"/>
        <v>0</v>
      </c>
      <c r="F200" s="1"/>
      <c r="G200" s="3">
        <f t="shared" si="21"/>
        <v>0</v>
      </c>
      <c r="H200" s="1">
        <f t="shared" si="23"/>
        <v>0</v>
      </c>
      <c r="I200" s="1"/>
      <c r="J200" s="34"/>
      <c r="K200" s="34"/>
      <c r="L200" s="34"/>
    </row>
    <row r="201" spans="1:12" ht="72" x14ac:dyDescent="0.3">
      <c r="A201" s="76" t="s">
        <v>42</v>
      </c>
      <c r="B201" s="78">
        <v>244</v>
      </c>
      <c r="C201" s="78">
        <v>346</v>
      </c>
      <c r="D201" s="3">
        <f t="shared" si="20"/>
        <v>0</v>
      </c>
      <c r="E201" s="1">
        <f t="shared" si="22"/>
        <v>0</v>
      </c>
      <c r="F201" s="1"/>
      <c r="G201" s="3">
        <f t="shared" si="21"/>
        <v>0</v>
      </c>
      <c r="H201" s="1">
        <f t="shared" si="23"/>
        <v>0</v>
      </c>
      <c r="I201" s="1"/>
      <c r="J201" s="34"/>
      <c r="K201" s="34"/>
      <c r="L201" s="34"/>
    </row>
    <row r="202" spans="1:12" ht="108" x14ac:dyDescent="0.3">
      <c r="A202" s="76" t="s">
        <v>43</v>
      </c>
      <c r="B202" s="78">
        <v>244</v>
      </c>
      <c r="C202" s="78">
        <v>349</v>
      </c>
      <c r="D202" s="3">
        <f t="shared" si="20"/>
        <v>0</v>
      </c>
      <c r="E202" s="1">
        <f t="shared" si="22"/>
        <v>0</v>
      </c>
      <c r="F202" s="1"/>
      <c r="G202" s="3">
        <f t="shared" si="21"/>
        <v>0</v>
      </c>
      <c r="H202" s="1">
        <f t="shared" si="23"/>
        <v>0</v>
      </c>
      <c r="I202" s="1"/>
      <c r="J202" s="34"/>
      <c r="K202" s="34"/>
      <c r="L202" s="34"/>
    </row>
  </sheetData>
  <mergeCells count="39">
    <mergeCell ref="E5:F5"/>
    <mergeCell ref="A1:I1"/>
    <mergeCell ref="A2:I2"/>
    <mergeCell ref="A70:A72"/>
    <mergeCell ref="A5:A6"/>
    <mergeCell ref="B5:B6"/>
    <mergeCell ref="C5:C6"/>
    <mergeCell ref="D5:D6"/>
    <mergeCell ref="A35:A36"/>
    <mergeCell ref="A41:A42"/>
    <mergeCell ref="A52:A53"/>
    <mergeCell ref="A55:A59"/>
    <mergeCell ref="A64:A65"/>
    <mergeCell ref="A83:A84"/>
    <mergeCell ref="B105:C105"/>
    <mergeCell ref="E105:F105"/>
    <mergeCell ref="B106:C106"/>
    <mergeCell ref="E106:F106"/>
    <mergeCell ref="A180:A181"/>
    <mergeCell ref="A183:A184"/>
    <mergeCell ref="G5:G6"/>
    <mergeCell ref="H5:I5"/>
    <mergeCell ref="A115:I115"/>
    <mergeCell ref="B112:C112"/>
    <mergeCell ref="E112:F112"/>
    <mergeCell ref="A114:B114"/>
    <mergeCell ref="A138:A139"/>
    <mergeCell ref="B108:C108"/>
    <mergeCell ref="E108:F108"/>
    <mergeCell ref="B109:C109"/>
    <mergeCell ref="E109:F109"/>
    <mergeCell ref="B111:C111"/>
    <mergeCell ref="E111:F111"/>
    <mergeCell ref="A77:A81"/>
    <mergeCell ref="K115:M115"/>
    <mergeCell ref="N115:P115"/>
    <mergeCell ref="A119:I119"/>
    <mergeCell ref="A161:I161"/>
    <mergeCell ref="A141:A142"/>
  </mergeCells>
  <pageMargins left="1.3779527559055118" right="0.39370078740157483" top="0.98425196850393704" bottom="0.78740157480314965" header="0.31496062992125984" footer="0.31496062992125984"/>
  <pageSetup paperSize="9" scale="5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04"/>
  <sheetViews>
    <sheetView showWhiteSpace="0" view="pageLayout" topLeftCell="A98" zoomScaleNormal="85" workbookViewId="0">
      <selection activeCell="D98" sqref="D98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4" width="20.6640625" style="5" customWidth="1"/>
    <col min="5" max="6" width="20.44140625" style="5" customWidth="1"/>
    <col min="7" max="7" width="10" style="5" bestFit="1" customWidth="1"/>
    <col min="8" max="8" width="12.33203125" style="5" bestFit="1" customWidth="1"/>
    <col min="9" max="9" width="13.6640625" style="5" customWidth="1"/>
    <col min="10" max="10" width="12.33203125" style="5" bestFit="1" customWidth="1"/>
    <col min="11" max="16384" width="8.88671875" style="5"/>
  </cols>
  <sheetData>
    <row r="1" spans="1:6" ht="17.399999999999999" x14ac:dyDescent="0.3">
      <c r="A1" s="384" t="s">
        <v>192</v>
      </c>
      <c r="B1" s="384"/>
      <c r="C1" s="384"/>
      <c r="D1" s="384"/>
      <c r="E1" s="384"/>
      <c r="F1" s="384"/>
    </row>
    <row r="2" spans="1:6" ht="17.399999999999999" x14ac:dyDescent="0.3">
      <c r="A2" s="384" t="s">
        <v>469</v>
      </c>
      <c r="B2" s="384"/>
      <c r="C2" s="384"/>
      <c r="D2" s="384"/>
      <c r="E2" s="384"/>
      <c r="F2" s="384"/>
    </row>
    <row r="3" spans="1:6" ht="15" x14ac:dyDescent="0.3">
      <c r="A3" s="28"/>
    </row>
    <row r="4" spans="1:6" ht="18.600000000000001" thickBot="1" x14ac:dyDescent="0.35">
      <c r="A4" s="4"/>
      <c r="F4" s="4" t="s">
        <v>51</v>
      </c>
    </row>
    <row r="5" spans="1:6" ht="18.600000000000001" customHeight="1" x14ac:dyDescent="0.3">
      <c r="A5" s="389" t="s">
        <v>0</v>
      </c>
      <c r="B5" s="382" t="s">
        <v>45</v>
      </c>
      <c r="C5" s="391" t="s">
        <v>46</v>
      </c>
      <c r="D5" s="382" t="s">
        <v>1</v>
      </c>
      <c r="E5" s="382" t="s">
        <v>2</v>
      </c>
      <c r="F5" s="382"/>
    </row>
    <row r="6" spans="1:6" ht="105.75" customHeight="1" thickBot="1" x14ac:dyDescent="0.35">
      <c r="A6" s="390"/>
      <c r="B6" s="383"/>
      <c r="C6" s="392"/>
      <c r="D6" s="383"/>
      <c r="E6" s="105" t="s">
        <v>3</v>
      </c>
      <c r="F6" s="105" t="s">
        <v>4</v>
      </c>
    </row>
    <row r="7" spans="1:6" ht="15" thickBot="1" x14ac:dyDescent="0.35">
      <c r="A7" s="40">
        <v>1</v>
      </c>
      <c r="B7" s="41">
        <v>2</v>
      </c>
      <c r="C7" s="41">
        <v>3</v>
      </c>
      <c r="D7" s="41">
        <v>4</v>
      </c>
      <c r="E7" s="41">
        <v>5</v>
      </c>
      <c r="F7" s="41">
        <v>6</v>
      </c>
    </row>
    <row r="8" spans="1:6" ht="54" x14ac:dyDescent="0.3">
      <c r="A8" s="36" t="s">
        <v>47</v>
      </c>
      <c r="B8" s="37" t="s">
        <v>5</v>
      </c>
      <c r="C8" s="37" t="s">
        <v>5</v>
      </c>
      <c r="D8" s="38">
        <f>E8+F8</f>
        <v>0</v>
      </c>
      <c r="E8" s="38"/>
      <c r="F8" s="38"/>
    </row>
    <row r="9" spans="1:6" ht="54" x14ac:dyDescent="0.3">
      <c r="A9" s="103" t="s">
        <v>48</v>
      </c>
      <c r="B9" s="107" t="s">
        <v>5</v>
      </c>
      <c r="C9" s="107" t="s">
        <v>5</v>
      </c>
      <c r="D9" s="3">
        <f t="shared" ref="D9:D78" si="0">E9+F9</f>
        <v>0</v>
      </c>
      <c r="E9" s="3">
        <f>E8+E10-E17+E100</f>
        <v>0</v>
      </c>
      <c r="F9" s="3">
        <f>F8+F10-F17+F100</f>
        <v>0</v>
      </c>
    </row>
    <row r="10" spans="1:6" ht="18" x14ac:dyDescent="0.3">
      <c r="A10" s="103" t="s">
        <v>49</v>
      </c>
      <c r="B10" s="107" t="s">
        <v>5</v>
      </c>
      <c r="C10" s="107" t="s">
        <v>5</v>
      </c>
      <c r="D10" s="3">
        <f t="shared" si="0"/>
        <v>107969421.20999999</v>
      </c>
      <c r="E10" s="1">
        <f>E12+E13</f>
        <v>107969421.20999999</v>
      </c>
      <c r="F10" s="1">
        <f>F12+F13+F100</f>
        <v>0</v>
      </c>
    </row>
    <row r="11" spans="1:6" ht="18" x14ac:dyDescent="0.3">
      <c r="A11" s="103" t="s">
        <v>6</v>
      </c>
      <c r="B11" s="107"/>
      <c r="C11" s="107"/>
      <c r="D11" s="3"/>
      <c r="E11" s="1"/>
      <c r="F11" s="1"/>
    </row>
    <row r="12" spans="1:6" ht="108" x14ac:dyDescent="0.3">
      <c r="A12" s="103" t="s">
        <v>69</v>
      </c>
      <c r="B12" s="107">
        <v>130</v>
      </c>
      <c r="C12" s="107" t="s">
        <v>5</v>
      </c>
      <c r="D12" s="3">
        <f t="shared" si="0"/>
        <v>107969421.20999999</v>
      </c>
      <c r="E12" s="1">
        <f>103067106.31+901251.52+4001063.38</f>
        <v>107969421.20999999</v>
      </c>
      <c r="F12" s="1"/>
    </row>
    <row r="13" spans="1:6" ht="36" x14ac:dyDescent="0.3">
      <c r="A13" s="103" t="s">
        <v>50</v>
      </c>
      <c r="B13" s="107" t="s">
        <v>5</v>
      </c>
      <c r="C13" s="107" t="s">
        <v>5</v>
      </c>
      <c r="D13" s="3">
        <f t="shared" si="0"/>
        <v>0</v>
      </c>
      <c r="E13" s="1">
        <f>E15+E16</f>
        <v>0</v>
      </c>
      <c r="F13" s="1">
        <f>F15+F16</f>
        <v>0</v>
      </c>
    </row>
    <row r="14" spans="1:6" ht="18" x14ac:dyDescent="0.3">
      <c r="A14" s="103" t="s">
        <v>9</v>
      </c>
      <c r="B14" s="107"/>
      <c r="C14" s="107"/>
      <c r="D14" s="3"/>
      <c r="E14" s="1"/>
      <c r="F14" s="1"/>
    </row>
    <row r="15" spans="1:6" ht="108" x14ac:dyDescent="0.3">
      <c r="A15" s="103" t="s">
        <v>70</v>
      </c>
      <c r="B15" s="107">
        <v>510</v>
      </c>
      <c r="C15" s="107" t="s">
        <v>5</v>
      </c>
      <c r="D15" s="3">
        <f t="shared" si="0"/>
        <v>0</v>
      </c>
      <c r="E15" s="1"/>
      <c r="F15" s="1"/>
    </row>
    <row r="16" spans="1:6" ht="126" x14ac:dyDescent="0.3">
      <c r="A16" s="103" t="s">
        <v>266</v>
      </c>
      <c r="B16" s="107">
        <v>510</v>
      </c>
      <c r="C16" s="107" t="s">
        <v>5</v>
      </c>
      <c r="D16" s="3">
        <f t="shared" si="0"/>
        <v>0</v>
      </c>
      <c r="E16" s="1"/>
      <c r="F16" s="1"/>
    </row>
    <row r="17" spans="1:8" ht="18" x14ac:dyDescent="0.3">
      <c r="A17" s="103" t="s">
        <v>7</v>
      </c>
      <c r="B17" s="107" t="s">
        <v>5</v>
      </c>
      <c r="C17" s="107">
        <v>900</v>
      </c>
      <c r="D17" s="3">
        <f t="shared" si="0"/>
        <v>107969421.20999999</v>
      </c>
      <c r="E17" s="1">
        <f>E19+E86</f>
        <v>107969421.20999999</v>
      </c>
      <c r="F17" s="1">
        <f>F19+F86</f>
        <v>0</v>
      </c>
    </row>
    <row r="18" spans="1:8" ht="18" x14ac:dyDescent="0.3">
      <c r="A18" s="103" t="s">
        <v>6</v>
      </c>
      <c r="B18" s="107"/>
      <c r="C18" s="107"/>
      <c r="D18" s="3"/>
      <c r="E18" s="1"/>
      <c r="F18" s="1"/>
    </row>
    <row r="19" spans="1:8" ht="18" x14ac:dyDescent="0.3">
      <c r="A19" s="103" t="s">
        <v>8</v>
      </c>
      <c r="B19" s="107" t="s">
        <v>5</v>
      </c>
      <c r="C19" s="107">
        <v>200</v>
      </c>
      <c r="D19" s="3">
        <f t="shared" si="0"/>
        <v>107491891.27</v>
      </c>
      <c r="E19" s="1">
        <f>E21+E29+E57+E65</f>
        <v>107491891.27</v>
      </c>
      <c r="F19" s="1">
        <f>F21+F29+F57+F65</f>
        <v>0</v>
      </c>
    </row>
    <row r="20" spans="1:8" ht="14.4" customHeight="1" x14ac:dyDescent="0.3">
      <c r="A20" s="103" t="s">
        <v>9</v>
      </c>
      <c r="B20" s="107"/>
      <c r="C20" s="107"/>
      <c r="D20" s="3"/>
      <c r="E20" s="1"/>
      <c r="F20" s="1"/>
    </row>
    <row r="21" spans="1:8" ht="72" x14ac:dyDescent="0.3">
      <c r="A21" s="103" t="s">
        <v>10</v>
      </c>
      <c r="B21" s="107" t="s">
        <v>5</v>
      </c>
      <c r="C21" s="107">
        <v>210</v>
      </c>
      <c r="D21" s="3">
        <f t="shared" si="0"/>
        <v>101648459.55999999</v>
      </c>
      <c r="E21" s="1">
        <f>E23+E24+E25+E26</f>
        <v>101648459.55999999</v>
      </c>
      <c r="F21" s="1">
        <f>F23+F24+F25+F26</f>
        <v>0</v>
      </c>
    </row>
    <row r="22" spans="1:8" ht="18" x14ac:dyDescent="0.3">
      <c r="A22" s="103" t="s">
        <v>9</v>
      </c>
      <c r="B22" s="107"/>
      <c r="C22" s="107"/>
      <c r="D22" s="3"/>
      <c r="E22" s="1"/>
      <c r="F22" s="1"/>
    </row>
    <row r="23" spans="1:8" ht="18" x14ac:dyDescent="0.3">
      <c r="A23" s="103" t="s">
        <v>11</v>
      </c>
      <c r="B23" s="107">
        <v>111</v>
      </c>
      <c r="C23" s="107">
        <v>211</v>
      </c>
      <c r="D23" s="3">
        <f t="shared" si="0"/>
        <v>78080431.86999999</v>
      </c>
      <c r="E23" s="1">
        <f>74466696.21+692205.47-100000-100000+3073013.35-22000+70516.84</f>
        <v>78080431.86999999</v>
      </c>
      <c r="F23" s="1"/>
    </row>
    <row r="24" spans="1:8" ht="72" x14ac:dyDescent="0.3">
      <c r="A24" s="103" t="s">
        <v>12</v>
      </c>
      <c r="B24" s="107">
        <v>112</v>
      </c>
      <c r="C24" s="107">
        <v>212</v>
      </c>
      <c r="D24" s="3">
        <f t="shared" si="0"/>
        <v>0</v>
      </c>
      <c r="E24" s="1">
        <f>4000-4000</f>
        <v>0</v>
      </c>
      <c r="F24" s="1"/>
    </row>
    <row r="25" spans="1:8" ht="54" x14ac:dyDescent="0.3">
      <c r="A25" s="103" t="s">
        <v>13</v>
      </c>
      <c r="B25" s="107">
        <v>119</v>
      </c>
      <c r="C25" s="107">
        <v>213</v>
      </c>
      <c r="D25" s="3">
        <f t="shared" si="0"/>
        <v>23568027.690000001</v>
      </c>
      <c r="E25" s="1">
        <f>22488942.26+209046.05+928050.03-2038.94-55971.71</f>
        <v>23568027.690000001</v>
      </c>
      <c r="F25" s="1"/>
    </row>
    <row r="26" spans="1:8" ht="72" x14ac:dyDescent="0.3">
      <c r="A26" s="103" t="s">
        <v>200</v>
      </c>
      <c r="B26" s="107" t="s">
        <v>5</v>
      </c>
      <c r="C26" s="107">
        <v>214</v>
      </c>
      <c r="D26" s="3">
        <f>E26+F26</f>
        <v>0</v>
      </c>
      <c r="E26" s="1">
        <f>E27+E28</f>
        <v>0</v>
      </c>
      <c r="F26" s="1">
        <f>F27+F28</f>
        <v>0</v>
      </c>
    </row>
    <row r="27" spans="1:8" ht="18" x14ac:dyDescent="0.3">
      <c r="A27" s="393" t="s">
        <v>6</v>
      </c>
      <c r="B27" s="107">
        <v>112</v>
      </c>
      <c r="C27" s="107">
        <v>214</v>
      </c>
      <c r="D27" s="3">
        <f t="shared" si="0"/>
        <v>0</v>
      </c>
      <c r="E27" s="1"/>
      <c r="F27" s="1"/>
    </row>
    <row r="28" spans="1:8" ht="18" x14ac:dyDescent="0.3">
      <c r="A28" s="394"/>
      <c r="B28" s="107">
        <v>244</v>
      </c>
      <c r="C28" s="107">
        <v>214</v>
      </c>
      <c r="D28" s="3">
        <v>0</v>
      </c>
      <c r="E28" s="1"/>
      <c r="F28" s="1"/>
    </row>
    <row r="29" spans="1:8" ht="36" x14ac:dyDescent="0.3">
      <c r="A29" s="103" t="s">
        <v>14</v>
      </c>
      <c r="B29" s="107" t="s">
        <v>5</v>
      </c>
      <c r="C29" s="107">
        <v>220</v>
      </c>
      <c r="D29" s="3">
        <f t="shared" si="0"/>
        <v>5235969.8999999994</v>
      </c>
      <c r="E29" s="1">
        <f>E31+E32+E35+E45+E46+E49+E55</f>
        <v>5235969.8999999994</v>
      </c>
      <c r="F29" s="1">
        <f>F31+F32+F35+F45+F46+F49+F55</f>
        <v>0</v>
      </c>
      <c r="H29" s="44"/>
    </row>
    <row r="30" spans="1:8" ht="18" x14ac:dyDescent="0.3">
      <c r="A30" s="103" t="s">
        <v>9</v>
      </c>
      <c r="B30" s="107"/>
      <c r="C30" s="107"/>
      <c r="D30" s="3"/>
      <c r="E30" s="1"/>
      <c r="F30" s="1"/>
    </row>
    <row r="31" spans="1:8" ht="22.2" customHeight="1" x14ac:dyDescent="0.3">
      <c r="A31" s="103" t="s">
        <v>15</v>
      </c>
      <c r="B31" s="107">
        <v>244</v>
      </c>
      <c r="C31" s="107">
        <v>221</v>
      </c>
      <c r="D31" s="3">
        <f t="shared" si="0"/>
        <v>90630</v>
      </c>
      <c r="E31" s="1">
        <f>90630</f>
        <v>90630</v>
      </c>
      <c r="F31" s="1"/>
    </row>
    <row r="32" spans="1:8" ht="36" x14ac:dyDescent="0.3">
      <c r="A32" s="103" t="s">
        <v>16</v>
      </c>
      <c r="B32" s="107" t="s">
        <v>5</v>
      </c>
      <c r="C32" s="107">
        <v>222</v>
      </c>
      <c r="D32" s="3">
        <f t="shared" si="0"/>
        <v>0</v>
      </c>
      <c r="E32" s="1">
        <f>E33+E34</f>
        <v>0</v>
      </c>
      <c r="F32" s="1">
        <f>F33+F34</f>
        <v>0</v>
      </c>
    </row>
    <row r="33" spans="1:6" ht="18" x14ac:dyDescent="0.3">
      <c r="A33" s="385" t="s">
        <v>6</v>
      </c>
      <c r="B33" s="107">
        <v>112</v>
      </c>
      <c r="C33" s="107">
        <v>222</v>
      </c>
      <c r="D33" s="3">
        <f t="shared" si="0"/>
        <v>0</v>
      </c>
      <c r="E33" s="1"/>
      <c r="F33" s="1"/>
    </row>
    <row r="34" spans="1:6" ht="18" x14ac:dyDescent="0.3">
      <c r="A34" s="385"/>
      <c r="B34" s="107">
        <v>244</v>
      </c>
      <c r="C34" s="107">
        <v>222</v>
      </c>
      <c r="D34" s="3">
        <f t="shared" si="0"/>
        <v>0</v>
      </c>
      <c r="E34" s="1"/>
      <c r="F34" s="1"/>
    </row>
    <row r="35" spans="1:6" ht="36" x14ac:dyDescent="0.3">
      <c r="A35" s="103" t="s">
        <v>17</v>
      </c>
      <c r="B35" s="107" t="s">
        <v>5</v>
      </c>
      <c r="C35" s="107">
        <v>223</v>
      </c>
      <c r="D35" s="3">
        <f t="shared" si="0"/>
        <v>3279914.08</v>
      </c>
      <c r="E35" s="1">
        <f>E40+E41+E42+E43+E44</f>
        <v>3279914.08</v>
      </c>
      <c r="F35" s="1">
        <f>F40+F41+F42+F43+F44</f>
        <v>0</v>
      </c>
    </row>
    <row r="36" spans="1:6" ht="22.95" customHeight="1" x14ac:dyDescent="0.3">
      <c r="A36" s="103" t="s">
        <v>6</v>
      </c>
      <c r="B36" s="107"/>
      <c r="C36" s="107"/>
      <c r="D36" s="3"/>
      <c r="E36" s="1"/>
      <c r="F36" s="1"/>
    </row>
    <row r="37" spans="1:6" ht="57.75" customHeight="1" x14ac:dyDescent="0.3">
      <c r="A37" s="314" t="s">
        <v>18</v>
      </c>
      <c r="B37" s="315">
        <v>244</v>
      </c>
      <c r="C37" s="315">
        <v>223</v>
      </c>
      <c r="D37" s="3"/>
      <c r="E37" s="1"/>
      <c r="F37" s="1"/>
    </row>
    <row r="38" spans="1:6" ht="40.5" customHeight="1" x14ac:dyDescent="0.3">
      <c r="A38" s="314" t="s">
        <v>19</v>
      </c>
      <c r="B38" s="315">
        <v>244</v>
      </c>
      <c r="C38" s="315">
        <v>223</v>
      </c>
      <c r="D38" s="3"/>
      <c r="E38" s="1"/>
      <c r="F38" s="1"/>
    </row>
    <row r="39" spans="1:6" ht="52.5" customHeight="1" x14ac:dyDescent="0.3">
      <c r="A39" s="314" t="s">
        <v>20</v>
      </c>
      <c r="B39" s="315">
        <v>244</v>
      </c>
      <c r="C39" s="315">
        <v>223</v>
      </c>
      <c r="D39" s="3"/>
      <c r="E39" s="1"/>
      <c r="F39" s="1"/>
    </row>
    <row r="40" spans="1:6" ht="54" x14ac:dyDescent="0.3">
      <c r="A40" s="103" t="s">
        <v>18</v>
      </c>
      <c r="B40" s="107">
        <v>247</v>
      </c>
      <c r="C40" s="107">
        <v>223</v>
      </c>
      <c r="D40" s="3">
        <f t="shared" si="0"/>
        <v>2157705.56</v>
      </c>
      <c r="E40" s="1">
        <f>2257705.56-100000</f>
        <v>2157705.56</v>
      </c>
      <c r="F40" s="1"/>
    </row>
    <row r="41" spans="1:6" ht="36" x14ac:dyDescent="0.3">
      <c r="A41" s="103" t="s">
        <v>19</v>
      </c>
      <c r="B41" s="107">
        <v>247</v>
      </c>
      <c r="C41" s="107">
        <v>223</v>
      </c>
      <c r="D41" s="3">
        <f t="shared" si="0"/>
        <v>0</v>
      </c>
      <c r="E41" s="1">
        <v>0</v>
      </c>
      <c r="F41" s="1"/>
    </row>
    <row r="42" spans="1:6" ht="54" x14ac:dyDescent="0.3">
      <c r="A42" s="103" t="s">
        <v>20</v>
      </c>
      <c r="B42" s="107">
        <v>247</v>
      </c>
      <c r="C42" s="107">
        <v>223</v>
      </c>
      <c r="D42" s="3">
        <f t="shared" si="0"/>
        <v>686959.04</v>
      </c>
      <c r="E42" s="1">
        <f>587131.49+100000-172.45</f>
        <v>686959.04</v>
      </c>
      <c r="F42" s="1"/>
    </row>
    <row r="43" spans="1:6" ht="72" x14ac:dyDescent="0.3">
      <c r="A43" s="103" t="s">
        <v>21</v>
      </c>
      <c r="B43" s="107">
        <v>244</v>
      </c>
      <c r="C43" s="107">
        <v>223</v>
      </c>
      <c r="D43" s="3">
        <f t="shared" si="0"/>
        <v>315010.20000000007</v>
      </c>
      <c r="E43" s="1">
        <f>300072.94+10557.46+4417.02-37.22</f>
        <v>315010.20000000007</v>
      </c>
      <c r="F43" s="1"/>
    </row>
    <row r="44" spans="1:6" ht="54" x14ac:dyDescent="0.3">
      <c r="A44" s="103" t="s">
        <v>22</v>
      </c>
      <c r="B44" s="107">
        <v>244</v>
      </c>
      <c r="C44" s="107">
        <v>223</v>
      </c>
      <c r="D44" s="3">
        <f t="shared" si="0"/>
        <v>120239.28000000001</v>
      </c>
      <c r="E44" s="1">
        <f>135213.76-10557.46-4417.02</f>
        <v>120239.28000000001</v>
      </c>
      <c r="F44" s="1"/>
    </row>
    <row r="45" spans="1:6" ht="118.5" customHeight="1" x14ac:dyDescent="0.3">
      <c r="A45" s="346" t="s">
        <v>23</v>
      </c>
      <c r="B45" s="107">
        <v>244</v>
      </c>
      <c r="C45" s="107">
        <v>224</v>
      </c>
      <c r="D45" s="3">
        <f t="shared" si="0"/>
        <v>0</v>
      </c>
      <c r="E45" s="1"/>
      <c r="F45" s="1"/>
    </row>
    <row r="46" spans="1:6" ht="54" x14ac:dyDescent="0.3">
      <c r="A46" s="103" t="s">
        <v>24</v>
      </c>
      <c r="B46" s="107" t="s">
        <v>5</v>
      </c>
      <c r="C46" s="107">
        <v>225</v>
      </c>
      <c r="D46" s="1">
        <f>D47+D48</f>
        <v>183571.76</v>
      </c>
      <c r="E46" s="1">
        <f>E47+E48</f>
        <v>183571.76</v>
      </c>
      <c r="F46" s="1">
        <f>F47+F48</f>
        <v>0</v>
      </c>
    </row>
    <row r="47" spans="1:6" ht="18" x14ac:dyDescent="0.3">
      <c r="A47" s="385" t="s">
        <v>6</v>
      </c>
      <c r="B47" s="107">
        <v>243</v>
      </c>
      <c r="C47" s="107">
        <v>225</v>
      </c>
      <c r="D47" s="3">
        <f t="shared" si="0"/>
        <v>0</v>
      </c>
      <c r="E47" s="1"/>
      <c r="F47" s="1"/>
    </row>
    <row r="48" spans="1:6" ht="18" x14ac:dyDescent="0.3">
      <c r="A48" s="385"/>
      <c r="B48" s="107">
        <v>244</v>
      </c>
      <c r="C48" s="107">
        <v>225</v>
      </c>
      <c r="D48" s="3">
        <f t="shared" si="0"/>
        <v>183571.76</v>
      </c>
      <c r="E48" s="1">
        <f>173786.67+10000-214.91</f>
        <v>183571.76</v>
      </c>
      <c r="F48" s="1"/>
    </row>
    <row r="49" spans="1:6" ht="36" x14ac:dyDescent="0.3">
      <c r="A49" s="103" t="s">
        <v>58</v>
      </c>
      <c r="B49" s="107" t="s">
        <v>5</v>
      </c>
      <c r="C49" s="107">
        <v>226</v>
      </c>
      <c r="D49" s="3">
        <f t="shared" si="0"/>
        <v>1661002.7999999998</v>
      </c>
      <c r="E49" s="1">
        <f>E50+E51+E53+E54+E52</f>
        <v>1661002.7999999998</v>
      </c>
      <c r="F49" s="1">
        <f>F50+F51+F53+F54+F52</f>
        <v>0</v>
      </c>
    </row>
    <row r="50" spans="1:6" ht="18" x14ac:dyDescent="0.3">
      <c r="A50" s="385" t="s">
        <v>6</v>
      </c>
      <c r="B50" s="107">
        <v>112</v>
      </c>
      <c r="C50" s="107">
        <v>226</v>
      </c>
      <c r="D50" s="3">
        <f t="shared" si="0"/>
        <v>0</v>
      </c>
      <c r="E50" s="1"/>
      <c r="F50" s="1"/>
    </row>
    <row r="51" spans="1:6" ht="18" x14ac:dyDescent="0.3">
      <c r="A51" s="385"/>
      <c r="B51" s="107">
        <v>113</v>
      </c>
      <c r="C51" s="107">
        <v>226</v>
      </c>
      <c r="D51" s="3">
        <f t="shared" si="0"/>
        <v>0</v>
      </c>
      <c r="E51" s="1"/>
      <c r="F51" s="1"/>
    </row>
    <row r="52" spans="1:6" ht="18" x14ac:dyDescent="0.3">
      <c r="A52" s="385"/>
      <c r="B52" s="107">
        <v>119</v>
      </c>
      <c r="C52" s="107">
        <v>226</v>
      </c>
      <c r="D52" s="3">
        <f t="shared" si="0"/>
        <v>0</v>
      </c>
      <c r="E52" s="1"/>
      <c r="F52" s="1"/>
    </row>
    <row r="53" spans="1:6" ht="18" x14ac:dyDescent="0.3">
      <c r="A53" s="385"/>
      <c r="B53" s="107">
        <v>243</v>
      </c>
      <c r="C53" s="107">
        <v>226</v>
      </c>
      <c r="D53" s="3">
        <f t="shared" si="0"/>
        <v>0</v>
      </c>
      <c r="E53" s="1"/>
      <c r="F53" s="1"/>
    </row>
    <row r="54" spans="1:6" ht="18" x14ac:dyDescent="0.3">
      <c r="A54" s="385"/>
      <c r="B54" s="107">
        <v>244</v>
      </c>
      <c r="C54" s="107">
        <v>226</v>
      </c>
      <c r="D54" s="3">
        <f t="shared" si="0"/>
        <v>1661002.7999999998</v>
      </c>
      <c r="E54" s="1">
        <f>1727988.4-10000-56985.6</f>
        <v>1661002.7999999998</v>
      </c>
      <c r="F54" s="1"/>
    </row>
    <row r="55" spans="1:6" ht="18" x14ac:dyDescent="0.3">
      <c r="A55" s="103" t="s">
        <v>25</v>
      </c>
      <c r="B55" s="107">
        <v>244</v>
      </c>
      <c r="C55" s="107">
        <v>227</v>
      </c>
      <c r="D55" s="3">
        <f t="shared" si="0"/>
        <v>20851.260000000002</v>
      </c>
      <c r="E55" s="1">
        <f>15000+5851.26</f>
        <v>20851.260000000002</v>
      </c>
      <c r="F55" s="1"/>
    </row>
    <row r="56" spans="1:6" ht="54" x14ac:dyDescent="0.3">
      <c r="A56" s="252" t="s">
        <v>445</v>
      </c>
      <c r="B56" s="254">
        <v>244</v>
      </c>
      <c r="C56" s="254">
        <v>228</v>
      </c>
      <c r="D56" s="3">
        <v>0</v>
      </c>
      <c r="E56" s="1"/>
      <c r="F56" s="1"/>
    </row>
    <row r="57" spans="1:6" ht="36" x14ac:dyDescent="0.3">
      <c r="A57" s="103" t="s">
        <v>26</v>
      </c>
      <c r="B57" s="107" t="s">
        <v>5</v>
      </c>
      <c r="C57" s="107">
        <v>260</v>
      </c>
      <c r="D57" s="3">
        <f t="shared" si="0"/>
        <v>323993.81</v>
      </c>
      <c r="E57" s="1">
        <f>E58+E60+E64+E59</f>
        <v>323993.81</v>
      </c>
      <c r="F57" s="1">
        <f>F58+F60+F64</f>
        <v>0</v>
      </c>
    </row>
    <row r="58" spans="1:6" ht="87.75" customHeight="1" x14ac:dyDescent="0.3">
      <c r="A58" s="346" t="s">
        <v>27</v>
      </c>
      <c r="B58" s="107">
        <v>321</v>
      </c>
      <c r="C58" s="107">
        <v>264</v>
      </c>
      <c r="D58" s="3">
        <f t="shared" si="0"/>
        <v>0</v>
      </c>
      <c r="E58" s="1">
        <f>4000-4000</f>
        <v>0</v>
      </c>
      <c r="F58" s="1"/>
    </row>
    <row r="59" spans="1:6" ht="117.6" x14ac:dyDescent="0.3">
      <c r="A59" s="346" t="s">
        <v>462</v>
      </c>
      <c r="B59" s="343">
        <v>119</v>
      </c>
      <c r="C59" s="343">
        <v>265</v>
      </c>
      <c r="D59" s="3">
        <f>E59</f>
        <v>0</v>
      </c>
      <c r="E59" s="1">
        <f>12849.96-12849.96</f>
        <v>0</v>
      </c>
      <c r="F59" s="1"/>
    </row>
    <row r="60" spans="1:6" ht="72" x14ac:dyDescent="0.3">
      <c r="A60" s="103" t="s">
        <v>28</v>
      </c>
      <c r="B60" s="107" t="s">
        <v>5</v>
      </c>
      <c r="C60" s="107">
        <v>266</v>
      </c>
      <c r="D60" s="3">
        <f>E60+F60</f>
        <v>323993.81</v>
      </c>
      <c r="E60" s="1">
        <f>E61+E62+E63</f>
        <v>323993.81</v>
      </c>
      <c r="F60" s="1">
        <f>F61+F62</f>
        <v>0</v>
      </c>
    </row>
    <row r="61" spans="1:6" ht="18" x14ac:dyDescent="0.3">
      <c r="A61" s="386" t="s">
        <v>6</v>
      </c>
      <c r="B61" s="107">
        <v>111</v>
      </c>
      <c r="C61" s="107">
        <v>266</v>
      </c>
      <c r="D61" s="3">
        <f t="shared" si="0"/>
        <v>323993.81</v>
      </c>
      <c r="E61" s="1">
        <f>110500+100000+100000-4000+30000-12506.19</f>
        <v>323993.81</v>
      </c>
      <c r="F61" s="1"/>
    </row>
    <row r="62" spans="1:6" ht="18" x14ac:dyDescent="0.3">
      <c r="A62" s="387"/>
      <c r="B62" s="107">
        <v>112</v>
      </c>
      <c r="C62" s="107">
        <v>266</v>
      </c>
      <c r="D62" s="3">
        <f t="shared" si="0"/>
        <v>0</v>
      </c>
      <c r="E62" s="1"/>
      <c r="F62" s="1"/>
    </row>
    <row r="63" spans="1:6" ht="18" x14ac:dyDescent="0.3">
      <c r="A63" s="388"/>
      <c r="B63" s="372">
        <v>119</v>
      </c>
      <c r="C63" s="372">
        <v>266</v>
      </c>
      <c r="D63" s="3">
        <f>SUM(E63)</f>
        <v>0</v>
      </c>
      <c r="E63" s="1">
        <f>2038.94-2038.94</f>
        <v>0</v>
      </c>
      <c r="F63" s="1"/>
    </row>
    <row r="64" spans="1:6" ht="72" x14ac:dyDescent="0.3">
      <c r="A64" s="103" t="s">
        <v>29</v>
      </c>
      <c r="B64" s="107">
        <v>112</v>
      </c>
      <c r="C64" s="107">
        <v>267</v>
      </c>
      <c r="D64" s="3">
        <f t="shared" si="0"/>
        <v>0</v>
      </c>
      <c r="E64" s="1"/>
      <c r="F64" s="1"/>
    </row>
    <row r="65" spans="1:6" ht="18" x14ac:dyDescent="0.3">
      <c r="A65" s="103" t="s">
        <v>30</v>
      </c>
      <c r="B65" s="107" t="s">
        <v>5</v>
      </c>
      <c r="C65" s="107">
        <v>290</v>
      </c>
      <c r="D65" s="3">
        <f t="shared" si="0"/>
        <v>283468</v>
      </c>
      <c r="E65" s="1">
        <f>E67+E71+E72+E73+E74+E81</f>
        <v>283468</v>
      </c>
      <c r="F65" s="1">
        <f>F67+F71+F72+F73+F74+F81</f>
        <v>0</v>
      </c>
    </row>
    <row r="66" spans="1:6" ht="18" x14ac:dyDescent="0.3">
      <c r="A66" s="103" t="s">
        <v>9</v>
      </c>
      <c r="B66" s="107"/>
      <c r="C66" s="107"/>
      <c r="D66" s="3">
        <f t="shared" si="0"/>
        <v>0</v>
      </c>
      <c r="E66" s="1"/>
      <c r="F66" s="1"/>
    </row>
    <row r="67" spans="1:6" ht="36" x14ac:dyDescent="0.3">
      <c r="A67" s="103" t="s">
        <v>31</v>
      </c>
      <c r="B67" s="107" t="s">
        <v>5</v>
      </c>
      <c r="C67" s="107">
        <v>291</v>
      </c>
      <c r="D67" s="3">
        <f t="shared" si="0"/>
        <v>283468</v>
      </c>
      <c r="E67" s="1">
        <f>E68+E69+E70</f>
        <v>283468</v>
      </c>
      <c r="F67" s="1">
        <f>F68+F69+F70</f>
        <v>0</v>
      </c>
    </row>
    <row r="68" spans="1:6" ht="18" x14ac:dyDescent="0.3">
      <c r="A68" s="385" t="s">
        <v>6</v>
      </c>
      <c r="B68" s="107">
        <v>851</v>
      </c>
      <c r="C68" s="107">
        <v>291</v>
      </c>
      <c r="D68" s="3">
        <f t="shared" si="0"/>
        <v>266124</v>
      </c>
      <c r="E68" s="1">
        <f>305529.02-5384-34021.02</f>
        <v>266124</v>
      </c>
      <c r="F68" s="1"/>
    </row>
    <row r="69" spans="1:6" ht="18" x14ac:dyDescent="0.3">
      <c r="A69" s="385"/>
      <c r="B69" s="107">
        <v>852</v>
      </c>
      <c r="C69" s="107">
        <v>291</v>
      </c>
      <c r="D69" s="3">
        <f t="shared" si="0"/>
        <v>17344</v>
      </c>
      <c r="E69" s="1">
        <f>11960+5384</f>
        <v>17344</v>
      </c>
      <c r="F69" s="1"/>
    </row>
    <row r="70" spans="1:6" ht="18" x14ac:dyDescent="0.3">
      <c r="A70" s="385"/>
      <c r="B70" s="107">
        <v>853</v>
      </c>
      <c r="C70" s="107">
        <v>291</v>
      </c>
      <c r="D70" s="3">
        <f t="shared" si="0"/>
        <v>0</v>
      </c>
      <c r="E70" s="1"/>
      <c r="F70" s="1"/>
    </row>
    <row r="71" spans="1:6" ht="108" x14ac:dyDescent="0.3">
      <c r="A71" s="103" t="s">
        <v>32</v>
      </c>
      <c r="B71" s="107">
        <v>853</v>
      </c>
      <c r="C71" s="107">
        <v>292</v>
      </c>
      <c r="D71" s="3">
        <f t="shared" si="0"/>
        <v>0</v>
      </c>
      <c r="E71" s="1"/>
      <c r="F71" s="1">
        <v>0</v>
      </c>
    </row>
    <row r="72" spans="1:6" ht="126" x14ac:dyDescent="0.3">
      <c r="A72" s="103" t="s">
        <v>33</v>
      </c>
      <c r="B72" s="107">
        <v>853</v>
      </c>
      <c r="C72" s="107">
        <v>293</v>
      </c>
      <c r="D72" s="3">
        <f t="shared" si="0"/>
        <v>0</v>
      </c>
      <c r="E72" s="1"/>
      <c r="F72" s="1">
        <v>0</v>
      </c>
    </row>
    <row r="73" spans="1:6" ht="57" customHeight="1" x14ac:dyDescent="0.3">
      <c r="A73" s="103" t="s">
        <v>157</v>
      </c>
      <c r="B73" s="107">
        <v>853</v>
      </c>
      <c r="C73" s="107">
        <v>295</v>
      </c>
      <c r="D73" s="3">
        <f t="shared" si="0"/>
        <v>0</v>
      </c>
      <c r="E73" s="1"/>
      <c r="F73" s="1">
        <v>0</v>
      </c>
    </row>
    <row r="74" spans="1:6" ht="54" x14ac:dyDescent="0.3">
      <c r="A74" s="103" t="s">
        <v>34</v>
      </c>
      <c r="B74" s="107" t="s">
        <v>5</v>
      </c>
      <c r="C74" s="107">
        <v>296</v>
      </c>
      <c r="D74" s="3">
        <f t="shared" si="0"/>
        <v>0</v>
      </c>
      <c r="E74" s="1">
        <f>E75+E76+E77+E78+E80</f>
        <v>0</v>
      </c>
      <c r="F74" s="1">
        <f>F75+F76+F77+F78+F80</f>
        <v>0</v>
      </c>
    </row>
    <row r="75" spans="1:6" ht="18" x14ac:dyDescent="0.3">
      <c r="A75" s="385" t="s">
        <v>6</v>
      </c>
      <c r="B75" s="107">
        <v>244</v>
      </c>
      <c r="C75" s="107">
        <v>296</v>
      </c>
      <c r="D75" s="3">
        <f t="shared" si="0"/>
        <v>0</v>
      </c>
      <c r="E75" s="1"/>
      <c r="F75" s="1"/>
    </row>
    <row r="76" spans="1:6" ht="18" x14ac:dyDescent="0.3">
      <c r="A76" s="385"/>
      <c r="B76" s="107">
        <v>340</v>
      </c>
      <c r="C76" s="107">
        <v>296</v>
      </c>
      <c r="D76" s="3">
        <f t="shared" si="0"/>
        <v>0</v>
      </c>
      <c r="E76" s="1"/>
      <c r="F76" s="1"/>
    </row>
    <row r="77" spans="1:6" ht="18" x14ac:dyDescent="0.3">
      <c r="A77" s="385"/>
      <c r="B77" s="107">
        <v>350</v>
      </c>
      <c r="C77" s="107">
        <v>296</v>
      </c>
      <c r="D77" s="3">
        <f t="shared" si="0"/>
        <v>0</v>
      </c>
      <c r="E77" s="1"/>
      <c r="F77" s="1"/>
    </row>
    <row r="78" spans="1:6" ht="18" x14ac:dyDescent="0.3">
      <c r="A78" s="385"/>
      <c r="B78" s="107">
        <v>360</v>
      </c>
      <c r="C78" s="107">
        <v>296</v>
      </c>
      <c r="D78" s="3">
        <f t="shared" si="0"/>
        <v>0</v>
      </c>
      <c r="E78" s="1"/>
      <c r="F78" s="1"/>
    </row>
    <row r="79" spans="1:6" ht="18" x14ac:dyDescent="0.3">
      <c r="A79" s="385"/>
      <c r="B79" s="368">
        <v>831</v>
      </c>
      <c r="C79" s="368">
        <v>296</v>
      </c>
      <c r="D79" s="3">
        <f>E79</f>
        <v>0</v>
      </c>
      <c r="E79" s="1"/>
      <c r="F79" s="1"/>
    </row>
    <row r="80" spans="1:6" ht="18" x14ac:dyDescent="0.3">
      <c r="A80" s="385"/>
      <c r="B80" s="107">
        <v>853</v>
      </c>
      <c r="C80" s="107">
        <v>296</v>
      </c>
      <c r="D80" s="3">
        <f t="shared" ref="D80:D104" si="1">E80+F80</f>
        <v>0</v>
      </c>
      <c r="E80" s="1"/>
      <c r="F80" s="1"/>
    </row>
    <row r="81" spans="1:6" ht="54" x14ac:dyDescent="0.3">
      <c r="A81" s="103" t="s">
        <v>35</v>
      </c>
      <c r="B81" s="107" t="s">
        <v>5</v>
      </c>
      <c r="C81" s="107">
        <v>297</v>
      </c>
      <c r="D81" s="3">
        <f t="shared" si="1"/>
        <v>0</v>
      </c>
      <c r="E81" s="1">
        <f>E82+E85</f>
        <v>0</v>
      </c>
      <c r="F81" s="1">
        <f>F82+F85</f>
        <v>0</v>
      </c>
    </row>
    <row r="82" spans="1:6" ht="18" x14ac:dyDescent="0.3">
      <c r="A82" s="385" t="s">
        <v>6</v>
      </c>
      <c r="B82" s="107">
        <v>244</v>
      </c>
      <c r="C82" s="107">
        <v>297</v>
      </c>
      <c r="D82" s="3">
        <f t="shared" si="1"/>
        <v>0</v>
      </c>
      <c r="E82" s="1"/>
      <c r="F82" s="1"/>
    </row>
    <row r="83" spans="1:6" ht="18" x14ac:dyDescent="0.3">
      <c r="A83" s="385"/>
      <c r="B83" s="368">
        <v>613</v>
      </c>
      <c r="C83" s="368">
        <v>297</v>
      </c>
      <c r="D83" s="3">
        <f>E83</f>
        <v>0</v>
      </c>
      <c r="E83" s="1"/>
      <c r="F83" s="1"/>
    </row>
    <row r="84" spans="1:6" ht="18" x14ac:dyDescent="0.3">
      <c r="A84" s="385"/>
      <c r="B84" s="318">
        <v>831</v>
      </c>
      <c r="C84" s="318">
        <v>297</v>
      </c>
      <c r="D84" s="3">
        <f>E84</f>
        <v>0</v>
      </c>
      <c r="E84" s="1"/>
      <c r="F84" s="1"/>
    </row>
    <row r="85" spans="1:6" ht="18" x14ac:dyDescent="0.3">
      <c r="A85" s="385"/>
      <c r="B85" s="107">
        <v>853</v>
      </c>
      <c r="C85" s="107">
        <v>297</v>
      </c>
      <c r="D85" s="3">
        <f t="shared" si="1"/>
        <v>0</v>
      </c>
      <c r="E85" s="1"/>
      <c r="F85" s="1"/>
    </row>
    <row r="86" spans="1:6" ht="54" x14ac:dyDescent="0.3">
      <c r="A86" s="103" t="s">
        <v>59</v>
      </c>
      <c r="B86" s="107" t="s">
        <v>5</v>
      </c>
      <c r="C86" s="107">
        <v>300</v>
      </c>
      <c r="D86" s="3">
        <f t="shared" si="1"/>
        <v>477529.94</v>
      </c>
      <c r="E86" s="1">
        <f>E88+E90+E89</f>
        <v>477529.94</v>
      </c>
      <c r="F86" s="1">
        <f>F88+F90+F89</f>
        <v>0</v>
      </c>
    </row>
    <row r="87" spans="1:6" ht="14.4" customHeight="1" x14ac:dyDescent="0.3">
      <c r="A87" s="103" t="s">
        <v>9</v>
      </c>
      <c r="B87" s="107"/>
      <c r="C87" s="107"/>
      <c r="D87" s="3"/>
      <c r="E87" s="1"/>
      <c r="F87" s="1"/>
    </row>
    <row r="88" spans="1:6" ht="54" x14ac:dyDescent="0.3">
      <c r="A88" s="103" t="s">
        <v>36</v>
      </c>
      <c r="B88" s="107">
        <v>244</v>
      </c>
      <c r="C88" s="107">
        <v>310</v>
      </c>
      <c r="D88" s="3">
        <f t="shared" si="1"/>
        <v>0</v>
      </c>
      <c r="E88" s="1"/>
      <c r="F88" s="1"/>
    </row>
    <row r="89" spans="1:6" ht="72" x14ac:dyDescent="0.3">
      <c r="A89" s="103" t="s">
        <v>68</v>
      </c>
      <c r="B89" s="107">
        <v>244</v>
      </c>
      <c r="C89" s="107">
        <v>320</v>
      </c>
      <c r="D89" s="3">
        <f t="shared" si="1"/>
        <v>0</v>
      </c>
      <c r="E89" s="1"/>
      <c r="F89" s="1"/>
    </row>
    <row r="90" spans="1:6" ht="72" x14ac:dyDescent="0.3">
      <c r="A90" s="103" t="s">
        <v>60</v>
      </c>
      <c r="B90" s="107" t="s">
        <v>5</v>
      </c>
      <c r="C90" s="107">
        <v>340</v>
      </c>
      <c r="D90" s="3">
        <f t="shared" si="1"/>
        <v>477529.94</v>
      </c>
      <c r="E90" s="1">
        <f>E92+E93+E94+E95+E96+E97+E99</f>
        <v>477529.94</v>
      </c>
      <c r="F90" s="1">
        <f>F92+F93+F94+F95+F96+F97+F99</f>
        <v>0</v>
      </c>
    </row>
    <row r="91" spans="1:6" ht="18" x14ac:dyDescent="0.3">
      <c r="A91" s="103" t="s">
        <v>6</v>
      </c>
      <c r="B91" s="107"/>
      <c r="C91" s="107"/>
      <c r="D91" s="3"/>
      <c r="E91" s="1"/>
      <c r="F91" s="1"/>
    </row>
    <row r="92" spans="1:6" ht="122.25" customHeight="1" x14ac:dyDescent="0.3">
      <c r="A92" s="369" t="s">
        <v>37</v>
      </c>
      <c r="B92" s="107">
        <v>244</v>
      </c>
      <c r="C92" s="107">
        <v>341</v>
      </c>
      <c r="D92" s="3">
        <f t="shared" si="1"/>
        <v>0</v>
      </c>
      <c r="E92" s="1">
        <v>0</v>
      </c>
      <c r="F92" s="1"/>
    </row>
    <row r="93" spans="1:6" ht="52.5" customHeight="1" x14ac:dyDescent="0.3">
      <c r="A93" s="369" t="s">
        <v>38</v>
      </c>
      <c r="B93" s="107">
        <v>244</v>
      </c>
      <c r="C93" s="107">
        <v>342</v>
      </c>
      <c r="D93" s="3">
        <f t="shared" si="1"/>
        <v>0</v>
      </c>
      <c r="E93" s="1">
        <v>0</v>
      </c>
      <c r="F93" s="1"/>
    </row>
    <row r="94" spans="1:6" ht="67.5" customHeight="1" x14ac:dyDescent="0.3">
      <c r="A94" s="369" t="s">
        <v>39</v>
      </c>
      <c r="B94" s="107">
        <v>244</v>
      </c>
      <c r="C94" s="107">
        <v>343</v>
      </c>
      <c r="D94" s="3">
        <f t="shared" si="1"/>
        <v>0</v>
      </c>
      <c r="E94" s="1">
        <v>0</v>
      </c>
      <c r="F94" s="1"/>
    </row>
    <row r="95" spans="1:6" ht="69.75" customHeight="1" x14ac:dyDescent="0.3">
      <c r="A95" s="369" t="s">
        <v>40</v>
      </c>
      <c r="B95" s="107">
        <v>244</v>
      </c>
      <c r="C95" s="107">
        <v>344</v>
      </c>
      <c r="D95" s="3">
        <f t="shared" si="1"/>
        <v>0</v>
      </c>
      <c r="E95" s="1">
        <v>0</v>
      </c>
      <c r="F95" s="1"/>
    </row>
    <row r="96" spans="1:6" ht="54" customHeight="1" x14ac:dyDescent="0.3">
      <c r="A96" s="369" t="s">
        <v>41</v>
      </c>
      <c r="B96" s="107">
        <v>244</v>
      </c>
      <c r="C96" s="107">
        <v>345</v>
      </c>
      <c r="D96" s="3">
        <f t="shared" si="1"/>
        <v>0</v>
      </c>
      <c r="E96" s="1">
        <v>0</v>
      </c>
      <c r="F96" s="1"/>
    </row>
    <row r="97" spans="1:6" ht="72" x14ac:dyDescent="0.3">
      <c r="A97" s="369" t="s">
        <v>42</v>
      </c>
      <c r="B97" s="107">
        <v>244</v>
      </c>
      <c r="C97" s="107">
        <v>346</v>
      </c>
      <c r="D97" s="3">
        <f t="shared" si="1"/>
        <v>477529.94</v>
      </c>
      <c r="E97" s="1">
        <f>391950+85579.94</f>
        <v>477529.94</v>
      </c>
      <c r="F97" s="1"/>
    </row>
    <row r="98" spans="1:6" ht="108" x14ac:dyDescent="0.3">
      <c r="A98" s="369" t="s">
        <v>446</v>
      </c>
      <c r="B98" s="254">
        <v>244</v>
      </c>
      <c r="C98" s="254">
        <v>347</v>
      </c>
      <c r="D98" s="3">
        <f t="shared" si="1"/>
        <v>0</v>
      </c>
      <c r="E98" s="1">
        <v>0</v>
      </c>
      <c r="F98" s="1"/>
    </row>
    <row r="99" spans="1:6" ht="108" x14ac:dyDescent="0.3">
      <c r="A99" s="369" t="s">
        <v>43</v>
      </c>
      <c r="B99" s="107">
        <v>244</v>
      </c>
      <c r="C99" s="107">
        <v>349</v>
      </c>
      <c r="D99" s="3">
        <f t="shared" si="1"/>
        <v>0</v>
      </c>
      <c r="E99" s="1">
        <v>0</v>
      </c>
      <c r="F99" s="1"/>
    </row>
    <row r="100" spans="1:6" ht="54" x14ac:dyDescent="0.3">
      <c r="A100" s="369" t="s">
        <v>67</v>
      </c>
      <c r="B100" s="107" t="s">
        <v>5</v>
      </c>
      <c r="C100" s="107" t="s">
        <v>5</v>
      </c>
      <c r="D100" s="3">
        <f t="shared" si="1"/>
        <v>0</v>
      </c>
      <c r="E100" s="1">
        <f>E102+E103+E104</f>
        <v>0</v>
      </c>
      <c r="F100" s="1">
        <f>F102+F103+F104</f>
        <v>0</v>
      </c>
    </row>
    <row r="101" spans="1:6" ht="18" x14ac:dyDescent="0.3">
      <c r="A101" s="369" t="s">
        <v>6</v>
      </c>
      <c r="B101" s="107"/>
      <c r="C101" s="107"/>
      <c r="D101" s="3"/>
      <c r="E101" s="1"/>
      <c r="F101" s="1"/>
    </row>
    <row r="102" spans="1:6" ht="25.2" customHeight="1" x14ac:dyDescent="0.3">
      <c r="A102" s="369" t="s">
        <v>193</v>
      </c>
      <c r="B102" s="107">
        <v>180</v>
      </c>
      <c r="C102" s="107" t="s">
        <v>5</v>
      </c>
      <c r="D102" s="3">
        <f t="shared" si="1"/>
        <v>0</v>
      </c>
      <c r="E102" s="1"/>
      <c r="F102" s="1"/>
    </row>
    <row r="103" spans="1:6" ht="54" x14ac:dyDescent="0.3">
      <c r="A103" s="369" t="s">
        <v>194</v>
      </c>
      <c r="B103" s="107">
        <v>180</v>
      </c>
      <c r="C103" s="107" t="s">
        <v>5</v>
      </c>
      <c r="D103" s="3">
        <f t="shared" si="1"/>
        <v>0</v>
      </c>
      <c r="E103" s="1"/>
      <c r="F103" s="1"/>
    </row>
    <row r="104" spans="1:6" ht="36.6" thickBot="1" x14ac:dyDescent="0.35">
      <c r="A104" s="370" t="s">
        <v>195</v>
      </c>
      <c r="B104" s="31">
        <v>180</v>
      </c>
      <c r="C104" s="31" t="s">
        <v>5</v>
      </c>
      <c r="D104" s="32">
        <f t="shared" si="1"/>
        <v>0</v>
      </c>
      <c r="E104" s="33"/>
      <c r="F104" s="33"/>
    </row>
    <row r="105" spans="1:6" ht="18.600000000000001" customHeight="1" x14ac:dyDescent="0.3">
      <c r="A105" s="13"/>
      <c r="B105" s="17"/>
      <c r="C105" s="17"/>
      <c r="D105" s="34"/>
      <c r="E105" s="34"/>
      <c r="F105" s="34"/>
    </row>
    <row r="106" spans="1:6" ht="18" x14ac:dyDescent="0.35">
      <c r="A106" s="395" t="s">
        <v>52</v>
      </c>
      <c r="B106" s="395"/>
      <c r="C106" s="182"/>
      <c r="D106" s="183"/>
      <c r="E106" s="400" t="s">
        <v>267</v>
      </c>
      <c r="F106" s="400"/>
    </row>
    <row r="107" spans="1:6" ht="18" x14ac:dyDescent="0.35">
      <c r="A107" s="27"/>
      <c r="B107" s="174"/>
      <c r="C107" s="173"/>
      <c r="D107" s="173" t="s">
        <v>53</v>
      </c>
      <c r="E107" s="401" t="s">
        <v>54</v>
      </c>
      <c r="F107" s="401"/>
    </row>
    <row r="108" spans="1:6" ht="18" x14ac:dyDescent="0.35">
      <c r="A108" s="27"/>
      <c r="B108" s="176"/>
      <c r="C108" s="8"/>
      <c r="D108" s="8"/>
      <c r="E108" s="8"/>
      <c r="F108" s="8"/>
    </row>
    <row r="109" spans="1:6" ht="18" x14ac:dyDescent="0.35">
      <c r="A109" s="395" t="s">
        <v>55</v>
      </c>
      <c r="B109" s="395"/>
      <c r="C109" s="182"/>
      <c r="D109" s="183"/>
      <c r="E109" s="400" t="s">
        <v>464</v>
      </c>
      <c r="F109" s="400"/>
    </row>
    <row r="110" spans="1:6" ht="18" x14ac:dyDescent="0.35">
      <c r="A110" s="27"/>
      <c r="B110" s="174"/>
      <c r="C110" s="173"/>
      <c r="D110" s="173" t="s">
        <v>53</v>
      </c>
      <c r="E110" s="401" t="s">
        <v>54</v>
      </c>
      <c r="F110" s="401"/>
    </row>
    <row r="111" spans="1:6" ht="18" x14ac:dyDescent="0.35">
      <c r="A111" s="27"/>
      <c r="B111" s="175"/>
      <c r="C111" s="153"/>
      <c r="D111" s="8"/>
      <c r="E111" s="43"/>
      <c r="F111" s="43"/>
    </row>
    <row r="112" spans="1:6" ht="18" x14ac:dyDescent="0.35">
      <c r="A112" s="27" t="s">
        <v>56</v>
      </c>
      <c r="B112" s="174"/>
      <c r="C112" s="182"/>
      <c r="D112" s="183"/>
      <c r="E112" s="400" t="s">
        <v>268</v>
      </c>
      <c r="F112" s="400"/>
    </row>
    <row r="113" spans="1:10" ht="18" x14ac:dyDescent="0.35">
      <c r="A113" s="27"/>
      <c r="B113" s="173"/>
      <c r="C113" s="173"/>
      <c r="D113" s="173" t="s">
        <v>53</v>
      </c>
      <c r="E113" s="401" t="s">
        <v>54</v>
      </c>
      <c r="F113" s="401"/>
    </row>
    <row r="114" spans="1:10" ht="22.5" customHeight="1" x14ac:dyDescent="0.35">
      <c r="A114" s="27" t="s">
        <v>428</v>
      </c>
      <c r="B114" s="8"/>
      <c r="C114" s="8"/>
      <c r="D114" s="8"/>
      <c r="E114" s="8"/>
      <c r="F114" s="8"/>
    </row>
    <row r="115" spans="1:10" ht="18" x14ac:dyDescent="0.35">
      <c r="A115" s="396" t="s">
        <v>483</v>
      </c>
      <c r="B115" s="396"/>
      <c r="C115" s="8"/>
      <c r="D115" s="8"/>
      <c r="E115" s="8"/>
      <c r="F115" s="8"/>
    </row>
    <row r="116" spans="1:10" ht="30" customHeight="1" x14ac:dyDescent="0.35">
      <c r="A116" s="152"/>
      <c r="B116" s="152"/>
      <c r="C116" s="8"/>
      <c r="D116" s="8"/>
      <c r="E116" s="8"/>
      <c r="F116" s="8"/>
    </row>
    <row r="117" spans="1:10" ht="17.399999999999999" x14ac:dyDescent="0.3">
      <c r="A117" s="402" t="s">
        <v>191</v>
      </c>
      <c r="B117" s="402"/>
      <c r="C117" s="402"/>
      <c r="D117" s="402"/>
      <c r="E117" s="402"/>
      <c r="F117" s="402"/>
    </row>
    <row r="118" spans="1:10" ht="108" x14ac:dyDescent="0.3">
      <c r="A118" s="48" t="s">
        <v>69</v>
      </c>
      <c r="B118" s="52" t="s">
        <v>5</v>
      </c>
      <c r="C118" s="52" t="s">
        <v>5</v>
      </c>
      <c r="D118" s="3">
        <f>E118+F118</f>
        <v>0</v>
      </c>
      <c r="E118" s="1"/>
      <c r="F118" s="2"/>
      <c r="H118" s="65" t="s">
        <v>229</v>
      </c>
      <c r="I118" s="65" t="s">
        <v>230</v>
      </c>
      <c r="J118" s="65" t="s">
        <v>231</v>
      </c>
    </row>
    <row r="119" spans="1:10" ht="18" x14ac:dyDescent="0.3">
      <c r="A119" s="48" t="s">
        <v>7</v>
      </c>
      <c r="B119" s="52" t="s">
        <v>5</v>
      </c>
      <c r="C119" s="52">
        <v>900</v>
      </c>
      <c r="D119" s="3">
        <f>E119+F119</f>
        <v>5713499.8399999999</v>
      </c>
      <c r="E119" s="1">
        <f>E122+E150+E164+E192</f>
        <v>5713499.8399999999</v>
      </c>
      <c r="F119" s="1">
        <f>F122+F150</f>
        <v>0</v>
      </c>
      <c r="H119" s="66">
        <f>E23+E24+E25+E27+E33+E50+E51+E52+E58+E61+E62+E64+E68+E69+E70+E71+E72+E73+E76+E77+E78+E80+E85</f>
        <v>102255921.36999999</v>
      </c>
      <c r="I119" s="66">
        <f>H119+D119</f>
        <v>107969421.20999999</v>
      </c>
      <c r="J119" s="66">
        <f>I119-E17</f>
        <v>0</v>
      </c>
    </row>
    <row r="120" spans="1:10" ht="18" x14ac:dyDescent="0.3">
      <c r="A120" s="48" t="s">
        <v>6</v>
      </c>
      <c r="B120" s="52"/>
      <c r="C120" s="52"/>
      <c r="D120" s="3"/>
      <c r="E120" s="1"/>
      <c r="F120" s="2"/>
    </row>
    <row r="121" spans="1:10" ht="17.399999999999999" x14ac:dyDescent="0.3">
      <c r="A121" s="397" t="s">
        <v>199</v>
      </c>
      <c r="B121" s="398"/>
      <c r="C121" s="398"/>
      <c r="D121" s="398"/>
      <c r="E121" s="398"/>
      <c r="F121" s="399"/>
    </row>
    <row r="122" spans="1:10" ht="18" x14ac:dyDescent="0.3">
      <c r="A122" s="48" t="s">
        <v>8</v>
      </c>
      <c r="B122" s="52" t="s">
        <v>5</v>
      </c>
      <c r="C122" s="52">
        <v>200</v>
      </c>
      <c r="D122" s="3">
        <f t="shared" ref="D122:D154" si="2">E122+F122</f>
        <v>0</v>
      </c>
      <c r="E122" s="1">
        <f>E124+E127+E146</f>
        <v>0</v>
      </c>
      <c r="F122" s="1">
        <f>F124+F127+F146</f>
        <v>0</v>
      </c>
    </row>
    <row r="123" spans="1:10" ht="18" x14ac:dyDescent="0.3">
      <c r="A123" s="48" t="s">
        <v>9</v>
      </c>
      <c r="B123" s="52"/>
      <c r="C123" s="52"/>
      <c r="D123" s="3"/>
      <c r="E123" s="1"/>
      <c r="F123" s="1"/>
    </row>
    <row r="124" spans="1:10" ht="72" x14ac:dyDescent="0.3">
      <c r="A124" s="48" t="s">
        <v>10</v>
      </c>
      <c r="B124" s="52" t="s">
        <v>5</v>
      </c>
      <c r="C124" s="52">
        <v>210</v>
      </c>
      <c r="D124" s="3">
        <f t="shared" si="2"/>
        <v>0</v>
      </c>
      <c r="E124" s="1">
        <f>E126</f>
        <v>0</v>
      </c>
      <c r="F124" s="1">
        <f>F126</f>
        <v>0</v>
      </c>
    </row>
    <row r="125" spans="1:10" ht="18" x14ac:dyDescent="0.3">
      <c r="A125" s="48" t="s">
        <v>9</v>
      </c>
      <c r="B125" s="52"/>
      <c r="C125" s="52"/>
      <c r="D125" s="3"/>
      <c r="E125" s="1"/>
      <c r="F125" s="1"/>
    </row>
    <row r="126" spans="1:10" ht="72" x14ac:dyDescent="0.3">
      <c r="A126" s="48" t="s">
        <v>200</v>
      </c>
      <c r="B126" s="52">
        <v>244</v>
      </c>
      <c r="C126" s="52">
        <v>214</v>
      </c>
      <c r="D126" s="3">
        <f>E126+F126</f>
        <v>0</v>
      </c>
      <c r="E126" s="1"/>
      <c r="F126" s="1"/>
    </row>
    <row r="127" spans="1:10" ht="36" x14ac:dyDescent="0.3">
      <c r="A127" s="48" t="s">
        <v>14</v>
      </c>
      <c r="B127" s="52" t="s">
        <v>5</v>
      </c>
      <c r="C127" s="52">
        <v>220</v>
      </c>
      <c r="D127" s="3">
        <f t="shared" si="2"/>
        <v>0</v>
      </c>
      <c r="E127" s="1">
        <f>E129+E130+E131+E138+E139+E142+E145</f>
        <v>0</v>
      </c>
      <c r="F127" s="1">
        <f>F129+F130+F131+F138+F139+F142+F145</f>
        <v>0</v>
      </c>
    </row>
    <row r="128" spans="1:10" ht="18" x14ac:dyDescent="0.3">
      <c r="A128" s="48" t="s">
        <v>9</v>
      </c>
      <c r="B128" s="52"/>
      <c r="C128" s="52"/>
      <c r="D128" s="3"/>
      <c r="E128" s="1"/>
      <c r="F128" s="1"/>
    </row>
    <row r="129" spans="1:6" ht="18" x14ac:dyDescent="0.3">
      <c r="A129" s="48" t="s">
        <v>15</v>
      </c>
      <c r="B129" s="52">
        <v>244</v>
      </c>
      <c r="C129" s="52">
        <v>221</v>
      </c>
      <c r="D129" s="3">
        <f t="shared" si="2"/>
        <v>0</v>
      </c>
      <c r="E129" s="1"/>
      <c r="F129" s="1"/>
    </row>
    <row r="130" spans="1:6" ht="36" x14ac:dyDescent="0.3">
      <c r="A130" s="48" t="s">
        <v>16</v>
      </c>
      <c r="B130" s="52">
        <v>244</v>
      </c>
      <c r="C130" s="52">
        <v>222</v>
      </c>
      <c r="D130" s="3">
        <f t="shared" si="2"/>
        <v>0</v>
      </c>
      <c r="E130" s="1"/>
      <c r="F130" s="1"/>
    </row>
    <row r="131" spans="1:6" ht="36" x14ac:dyDescent="0.3">
      <c r="A131" s="48" t="s">
        <v>17</v>
      </c>
      <c r="B131" s="52" t="s">
        <v>5</v>
      </c>
      <c r="C131" s="52">
        <v>223</v>
      </c>
      <c r="D131" s="3">
        <f t="shared" si="2"/>
        <v>0</v>
      </c>
      <c r="E131" s="1">
        <f>E133+E134+E135+E136+E137</f>
        <v>0</v>
      </c>
      <c r="F131" s="1">
        <f>F133+F134+F135+F136+F137</f>
        <v>0</v>
      </c>
    </row>
    <row r="132" spans="1:6" ht="18" x14ac:dyDescent="0.3">
      <c r="A132" s="48" t="s">
        <v>6</v>
      </c>
      <c r="B132" s="52"/>
      <c r="C132" s="52"/>
      <c r="D132" s="3"/>
      <c r="E132" s="1"/>
      <c r="F132" s="1"/>
    </row>
    <row r="133" spans="1:6" ht="54" x14ac:dyDescent="0.3">
      <c r="A133" s="48" t="s">
        <v>18</v>
      </c>
      <c r="B133" s="52">
        <v>244</v>
      </c>
      <c r="C133" s="52">
        <v>223</v>
      </c>
      <c r="D133" s="3">
        <f t="shared" si="2"/>
        <v>0</v>
      </c>
      <c r="E133" s="1"/>
      <c r="F133" s="1"/>
    </row>
    <row r="134" spans="1:6" ht="36" x14ac:dyDescent="0.3">
      <c r="A134" s="48" t="s">
        <v>19</v>
      </c>
      <c r="B134" s="52">
        <v>244</v>
      </c>
      <c r="C134" s="52">
        <v>223</v>
      </c>
      <c r="D134" s="3">
        <f t="shared" si="2"/>
        <v>0</v>
      </c>
      <c r="E134" s="1"/>
      <c r="F134" s="1"/>
    </row>
    <row r="135" spans="1:6" ht="54" x14ac:dyDescent="0.3">
      <c r="A135" s="48" t="s">
        <v>20</v>
      </c>
      <c r="B135" s="52">
        <v>244</v>
      </c>
      <c r="C135" s="52">
        <v>223</v>
      </c>
      <c r="D135" s="3">
        <f t="shared" si="2"/>
        <v>0</v>
      </c>
      <c r="E135" s="1"/>
      <c r="F135" s="1"/>
    </row>
    <row r="136" spans="1:6" ht="72" x14ac:dyDescent="0.3">
      <c r="A136" s="48" t="s">
        <v>21</v>
      </c>
      <c r="B136" s="52">
        <v>244</v>
      </c>
      <c r="C136" s="52">
        <v>223</v>
      </c>
      <c r="D136" s="3">
        <f t="shared" si="2"/>
        <v>0</v>
      </c>
      <c r="E136" s="1"/>
      <c r="F136" s="1"/>
    </row>
    <row r="137" spans="1:6" ht="54" x14ac:dyDescent="0.3">
      <c r="A137" s="48" t="s">
        <v>22</v>
      </c>
      <c r="B137" s="52">
        <v>244</v>
      </c>
      <c r="C137" s="52">
        <v>223</v>
      </c>
      <c r="D137" s="3">
        <f t="shared" si="2"/>
        <v>0</v>
      </c>
      <c r="E137" s="1"/>
      <c r="F137" s="1"/>
    </row>
    <row r="138" spans="1:6" ht="162" x14ac:dyDescent="0.3">
      <c r="A138" s="48" t="s">
        <v>23</v>
      </c>
      <c r="B138" s="52">
        <v>244</v>
      </c>
      <c r="C138" s="52">
        <v>224</v>
      </c>
      <c r="D138" s="3">
        <f t="shared" si="2"/>
        <v>0</v>
      </c>
      <c r="E138" s="1"/>
      <c r="F138" s="1"/>
    </row>
    <row r="139" spans="1:6" ht="54" x14ac:dyDescent="0.3">
      <c r="A139" s="48" t="s">
        <v>24</v>
      </c>
      <c r="B139" s="52" t="s">
        <v>5</v>
      </c>
      <c r="C139" s="52">
        <v>225</v>
      </c>
      <c r="D139" s="1">
        <f>D140+D141</f>
        <v>0</v>
      </c>
      <c r="E139" s="1">
        <f>E140+E141</f>
        <v>0</v>
      </c>
      <c r="F139" s="1">
        <f>F140+F141</f>
        <v>0</v>
      </c>
    </row>
    <row r="140" spans="1:6" ht="18" x14ac:dyDescent="0.3">
      <c r="A140" s="385" t="s">
        <v>6</v>
      </c>
      <c r="B140" s="52">
        <v>243</v>
      </c>
      <c r="C140" s="52">
        <v>225</v>
      </c>
      <c r="D140" s="3">
        <f t="shared" si="2"/>
        <v>0</v>
      </c>
      <c r="E140" s="1"/>
      <c r="F140" s="1"/>
    </row>
    <row r="141" spans="1:6" ht="18" x14ac:dyDescent="0.3">
      <c r="A141" s="385"/>
      <c r="B141" s="52">
        <v>244</v>
      </c>
      <c r="C141" s="52">
        <v>225</v>
      </c>
      <c r="D141" s="3">
        <f t="shared" si="2"/>
        <v>0</v>
      </c>
      <c r="E141" s="1"/>
      <c r="F141" s="1"/>
    </row>
    <row r="142" spans="1:6" ht="36" x14ac:dyDescent="0.3">
      <c r="A142" s="48" t="s">
        <v>58</v>
      </c>
      <c r="B142" s="52" t="s">
        <v>5</v>
      </c>
      <c r="C142" s="52">
        <v>226</v>
      </c>
      <c r="D142" s="3">
        <f t="shared" si="2"/>
        <v>0</v>
      </c>
      <c r="E142" s="1">
        <f>E143+E144</f>
        <v>0</v>
      </c>
      <c r="F142" s="1">
        <f>F143+F144</f>
        <v>0</v>
      </c>
    </row>
    <row r="143" spans="1:6" ht="18" x14ac:dyDescent="0.3">
      <c r="A143" s="385" t="s">
        <v>6</v>
      </c>
      <c r="B143" s="52">
        <v>243</v>
      </c>
      <c r="C143" s="52">
        <v>226</v>
      </c>
      <c r="D143" s="3">
        <f t="shared" si="2"/>
        <v>0</v>
      </c>
      <c r="E143" s="1"/>
      <c r="F143" s="1"/>
    </row>
    <row r="144" spans="1:6" ht="18" x14ac:dyDescent="0.3">
      <c r="A144" s="385"/>
      <c r="B144" s="52">
        <v>244</v>
      </c>
      <c r="C144" s="52">
        <v>226</v>
      </c>
      <c r="D144" s="3">
        <f t="shared" si="2"/>
        <v>0</v>
      </c>
      <c r="E144" s="1"/>
      <c r="F144" s="1"/>
    </row>
    <row r="145" spans="1:6" ht="18" x14ac:dyDescent="0.3">
      <c r="A145" s="48" t="s">
        <v>25</v>
      </c>
      <c r="B145" s="52">
        <v>244</v>
      </c>
      <c r="C145" s="52">
        <v>227</v>
      </c>
      <c r="D145" s="3">
        <f t="shared" si="2"/>
        <v>0</v>
      </c>
      <c r="E145" s="1"/>
      <c r="F145" s="1"/>
    </row>
    <row r="146" spans="1:6" ht="18" x14ac:dyDescent="0.3">
      <c r="A146" s="48" t="s">
        <v>30</v>
      </c>
      <c r="B146" s="52" t="s">
        <v>5</v>
      </c>
      <c r="C146" s="52">
        <v>290</v>
      </c>
      <c r="D146" s="3">
        <f t="shared" si="2"/>
        <v>0</v>
      </c>
      <c r="E146" s="1">
        <f>E148+E149</f>
        <v>0</v>
      </c>
      <c r="F146" s="1">
        <f>F148+F149</f>
        <v>0</v>
      </c>
    </row>
    <row r="147" spans="1:6" ht="18" x14ac:dyDescent="0.3">
      <c r="A147" s="48" t="s">
        <v>9</v>
      </c>
      <c r="B147" s="52"/>
      <c r="C147" s="52"/>
      <c r="D147" s="3">
        <f t="shared" si="2"/>
        <v>0</v>
      </c>
      <c r="E147" s="1"/>
      <c r="F147" s="1"/>
    </row>
    <row r="148" spans="1:6" ht="54" x14ac:dyDescent="0.3">
      <c r="A148" s="48" t="s">
        <v>34</v>
      </c>
      <c r="B148" s="52">
        <v>244</v>
      </c>
      <c r="C148" s="52">
        <v>296</v>
      </c>
      <c r="D148" s="3">
        <f t="shared" si="2"/>
        <v>0</v>
      </c>
      <c r="E148" s="1"/>
      <c r="F148" s="1"/>
    </row>
    <row r="149" spans="1:6" ht="54" x14ac:dyDescent="0.3">
      <c r="A149" s="48" t="s">
        <v>35</v>
      </c>
      <c r="B149" s="52">
        <v>244</v>
      </c>
      <c r="C149" s="52">
        <v>297</v>
      </c>
      <c r="D149" s="3">
        <f t="shared" si="2"/>
        <v>0</v>
      </c>
      <c r="E149" s="1"/>
      <c r="F149" s="1"/>
    </row>
    <row r="150" spans="1:6" ht="54" x14ac:dyDescent="0.3">
      <c r="A150" s="48" t="s">
        <v>59</v>
      </c>
      <c r="B150" s="52" t="s">
        <v>5</v>
      </c>
      <c r="C150" s="52">
        <v>300</v>
      </c>
      <c r="D150" s="3">
        <f t="shared" si="2"/>
        <v>0</v>
      </c>
      <c r="E150" s="1">
        <f>E152+E154+E153</f>
        <v>0</v>
      </c>
      <c r="F150" s="1">
        <f>F152+F154+F153</f>
        <v>0</v>
      </c>
    </row>
    <row r="151" spans="1:6" ht="18" x14ac:dyDescent="0.3">
      <c r="A151" s="48" t="s">
        <v>9</v>
      </c>
      <c r="B151" s="52"/>
      <c r="C151" s="52"/>
      <c r="D151" s="3"/>
      <c r="E151" s="1"/>
      <c r="F151" s="1"/>
    </row>
    <row r="152" spans="1:6" ht="54" x14ac:dyDescent="0.3">
      <c r="A152" s="48" t="s">
        <v>36</v>
      </c>
      <c r="B152" s="52">
        <v>244</v>
      </c>
      <c r="C152" s="52">
        <v>310</v>
      </c>
      <c r="D152" s="3">
        <f t="shared" si="2"/>
        <v>0</v>
      </c>
      <c r="E152" s="1"/>
      <c r="F152" s="1"/>
    </row>
    <row r="153" spans="1:6" ht="72" x14ac:dyDescent="0.3">
      <c r="A153" s="48" t="s">
        <v>68</v>
      </c>
      <c r="B153" s="52">
        <v>244</v>
      </c>
      <c r="C153" s="52">
        <v>320</v>
      </c>
      <c r="D153" s="3">
        <f t="shared" si="2"/>
        <v>0</v>
      </c>
      <c r="E153" s="1"/>
      <c r="F153" s="1"/>
    </row>
    <row r="154" spans="1:6" ht="72" x14ac:dyDescent="0.3">
      <c r="A154" s="48" t="s">
        <v>60</v>
      </c>
      <c r="B154" s="52" t="s">
        <v>5</v>
      </c>
      <c r="C154" s="52">
        <v>340</v>
      </c>
      <c r="D154" s="3">
        <f t="shared" si="2"/>
        <v>0</v>
      </c>
      <c r="E154" s="1">
        <f>E156+E157+E158+E159+E160+E161+E162</f>
        <v>0</v>
      </c>
      <c r="F154" s="1">
        <f>F156+F157+F158+F159+F160+F161+F162</f>
        <v>0</v>
      </c>
    </row>
    <row r="155" spans="1:6" ht="18" x14ac:dyDescent="0.3">
      <c r="A155" s="48" t="s">
        <v>6</v>
      </c>
      <c r="B155" s="52"/>
      <c r="C155" s="52"/>
      <c r="D155" s="3"/>
      <c r="E155" s="1"/>
      <c r="F155" s="1"/>
    </row>
    <row r="156" spans="1:6" ht="126" x14ac:dyDescent="0.3">
      <c r="A156" s="48" t="s">
        <v>37</v>
      </c>
      <c r="B156" s="52">
        <v>244</v>
      </c>
      <c r="C156" s="52">
        <v>341</v>
      </c>
      <c r="D156" s="3">
        <f t="shared" ref="D156:D162" si="3">E156+F156</f>
        <v>0</v>
      </c>
      <c r="E156" s="1"/>
      <c r="F156" s="1"/>
    </row>
    <row r="157" spans="1:6" ht="54" x14ac:dyDescent="0.3">
      <c r="A157" s="48" t="s">
        <v>38</v>
      </c>
      <c r="B157" s="52">
        <v>244</v>
      </c>
      <c r="C157" s="52">
        <v>342</v>
      </c>
      <c r="D157" s="3">
        <f t="shared" si="3"/>
        <v>0</v>
      </c>
      <c r="E157" s="1"/>
      <c r="F157" s="1"/>
    </row>
    <row r="158" spans="1:6" ht="72" x14ac:dyDescent="0.3">
      <c r="A158" s="48" t="s">
        <v>39</v>
      </c>
      <c r="B158" s="52">
        <v>244</v>
      </c>
      <c r="C158" s="52">
        <v>343</v>
      </c>
      <c r="D158" s="3">
        <f t="shared" si="3"/>
        <v>0</v>
      </c>
      <c r="E158" s="1"/>
      <c r="F158" s="1"/>
    </row>
    <row r="159" spans="1:6" ht="72" x14ac:dyDescent="0.3">
      <c r="A159" s="48" t="s">
        <v>40</v>
      </c>
      <c r="B159" s="52">
        <v>244</v>
      </c>
      <c r="C159" s="52">
        <v>344</v>
      </c>
      <c r="D159" s="3">
        <f t="shared" si="3"/>
        <v>0</v>
      </c>
      <c r="E159" s="1"/>
      <c r="F159" s="1"/>
    </row>
    <row r="160" spans="1:6" ht="54" x14ac:dyDescent="0.3">
      <c r="A160" s="48" t="s">
        <v>41</v>
      </c>
      <c r="B160" s="52">
        <v>244</v>
      </c>
      <c r="C160" s="52">
        <v>345</v>
      </c>
      <c r="D160" s="3">
        <f t="shared" si="3"/>
        <v>0</v>
      </c>
      <c r="E160" s="1"/>
      <c r="F160" s="1"/>
    </row>
    <row r="161" spans="1:6" ht="72" x14ac:dyDescent="0.3">
      <c r="A161" s="48" t="s">
        <v>42</v>
      </c>
      <c r="B161" s="52">
        <v>244</v>
      </c>
      <c r="C161" s="52">
        <v>346</v>
      </c>
      <c r="D161" s="3">
        <f t="shared" si="3"/>
        <v>0</v>
      </c>
      <c r="E161" s="1"/>
      <c r="F161" s="1"/>
    </row>
    <row r="162" spans="1:6" ht="108" x14ac:dyDescent="0.3">
      <c r="A162" s="48" t="s">
        <v>43</v>
      </c>
      <c r="B162" s="52">
        <v>244</v>
      </c>
      <c r="C162" s="52">
        <v>349</v>
      </c>
      <c r="D162" s="3">
        <f t="shared" si="3"/>
        <v>0</v>
      </c>
      <c r="E162" s="1"/>
      <c r="F162" s="1"/>
    </row>
    <row r="163" spans="1:6" ht="17.399999999999999" x14ac:dyDescent="0.3">
      <c r="A163" s="397" t="s">
        <v>201</v>
      </c>
      <c r="B163" s="398"/>
      <c r="C163" s="398"/>
      <c r="D163" s="398"/>
      <c r="E163" s="398"/>
      <c r="F163" s="399"/>
    </row>
    <row r="164" spans="1:6" ht="18" x14ac:dyDescent="0.3">
      <c r="A164" s="48" t="s">
        <v>8</v>
      </c>
      <c r="B164" s="52" t="s">
        <v>5</v>
      </c>
      <c r="C164" s="52">
        <v>200</v>
      </c>
      <c r="D164" s="3">
        <f>E164+F164</f>
        <v>5235969.8999999994</v>
      </c>
      <c r="E164" s="1">
        <f>E166+E169+E188</f>
        <v>5235969.8999999994</v>
      </c>
      <c r="F164" s="1">
        <f>F166+F169+F188</f>
        <v>0</v>
      </c>
    </row>
    <row r="165" spans="1:6" ht="18" x14ac:dyDescent="0.3">
      <c r="A165" s="48" t="s">
        <v>9</v>
      </c>
      <c r="B165" s="52"/>
      <c r="C165" s="52"/>
      <c r="D165" s="3"/>
      <c r="E165" s="1"/>
      <c r="F165" s="1"/>
    </row>
    <row r="166" spans="1:6" ht="72" x14ac:dyDescent="0.3">
      <c r="A166" s="48" t="s">
        <v>10</v>
      </c>
      <c r="B166" s="52" t="s">
        <v>5</v>
      </c>
      <c r="C166" s="52">
        <v>210</v>
      </c>
      <c r="D166" s="3">
        <f>E166+F166</f>
        <v>0</v>
      </c>
      <c r="E166" s="1">
        <f>E168</f>
        <v>0</v>
      </c>
      <c r="F166" s="1">
        <f>F168</f>
        <v>0</v>
      </c>
    </row>
    <row r="167" spans="1:6" ht="18" x14ac:dyDescent="0.3">
      <c r="A167" s="48" t="s">
        <v>9</v>
      </c>
      <c r="B167" s="52"/>
      <c r="C167" s="52"/>
      <c r="D167" s="3"/>
      <c r="E167" s="1"/>
      <c r="F167" s="1"/>
    </row>
    <row r="168" spans="1:6" ht="72" x14ac:dyDescent="0.3">
      <c r="A168" s="48" t="s">
        <v>200</v>
      </c>
      <c r="B168" s="52">
        <v>244</v>
      </c>
      <c r="C168" s="52">
        <v>214</v>
      </c>
      <c r="D168" s="3">
        <f>E168+F168</f>
        <v>0</v>
      </c>
      <c r="E168" s="64">
        <f>E28-E126</f>
        <v>0</v>
      </c>
      <c r="F168" s="1"/>
    </row>
    <row r="169" spans="1:6" ht="36" x14ac:dyDescent="0.3">
      <c r="A169" s="48" t="s">
        <v>14</v>
      </c>
      <c r="B169" s="52" t="s">
        <v>5</v>
      </c>
      <c r="C169" s="52">
        <v>220</v>
      </c>
      <c r="D169" s="3">
        <f>E169+F169</f>
        <v>5235969.8999999994</v>
      </c>
      <c r="E169" s="1">
        <f>E171+E172+E173+E180+E181+E184+E187</f>
        <v>5235969.8999999994</v>
      </c>
      <c r="F169" s="1">
        <f>F171+F172+F173+F180+F181+F184+F187</f>
        <v>0</v>
      </c>
    </row>
    <row r="170" spans="1:6" ht="18" x14ac:dyDescent="0.3">
      <c r="A170" s="48" t="s">
        <v>9</v>
      </c>
      <c r="B170" s="52"/>
      <c r="C170" s="52"/>
      <c r="D170" s="3"/>
      <c r="E170" s="1"/>
      <c r="F170" s="1"/>
    </row>
    <row r="171" spans="1:6" ht="18" x14ac:dyDescent="0.3">
      <c r="A171" s="48" t="s">
        <v>15</v>
      </c>
      <c r="B171" s="52">
        <v>244</v>
      </c>
      <c r="C171" s="52">
        <v>221</v>
      </c>
      <c r="D171" s="3">
        <f>E171+F171</f>
        <v>90630</v>
      </c>
      <c r="E171" s="1">
        <f>E31-E129</f>
        <v>90630</v>
      </c>
      <c r="F171" s="1"/>
    </row>
    <row r="172" spans="1:6" ht="36" x14ac:dyDescent="0.3">
      <c r="A172" s="48" t="s">
        <v>16</v>
      </c>
      <c r="B172" s="52">
        <v>244</v>
      </c>
      <c r="C172" s="52">
        <v>222</v>
      </c>
      <c r="D172" s="3">
        <f>E172+F172</f>
        <v>0</v>
      </c>
      <c r="E172" s="64">
        <f>E34-E130</f>
        <v>0</v>
      </c>
      <c r="F172" s="1"/>
    </row>
    <row r="173" spans="1:6" ht="36" x14ac:dyDescent="0.3">
      <c r="A173" s="48" t="s">
        <v>17</v>
      </c>
      <c r="B173" s="52" t="s">
        <v>5</v>
      </c>
      <c r="C173" s="52">
        <v>223</v>
      </c>
      <c r="D173" s="3">
        <f>E173+F173</f>
        <v>3279914.08</v>
      </c>
      <c r="E173" s="1">
        <f>E175+E176+E177+E178+E179</f>
        <v>3279914.08</v>
      </c>
      <c r="F173" s="1">
        <f>F175+F176+F177+F178+F179</f>
        <v>0</v>
      </c>
    </row>
    <row r="174" spans="1:6" ht="18" x14ac:dyDescent="0.3">
      <c r="A174" s="48" t="s">
        <v>6</v>
      </c>
      <c r="B174" s="52"/>
      <c r="C174" s="52"/>
      <c r="D174" s="3"/>
      <c r="E174" s="1"/>
      <c r="F174" s="1"/>
    </row>
    <row r="175" spans="1:6" ht="54" x14ac:dyDescent="0.3">
      <c r="A175" s="48" t="s">
        <v>18</v>
      </c>
      <c r="B175" s="52">
        <v>244</v>
      </c>
      <c r="C175" s="52">
        <v>223</v>
      </c>
      <c r="D175" s="3">
        <f t="shared" ref="D175:D180" si="4">E175+F175</f>
        <v>2157705.56</v>
      </c>
      <c r="E175" s="1">
        <f t="shared" ref="E175:E180" si="5">E40-E133</f>
        <v>2157705.56</v>
      </c>
      <c r="F175" s="1"/>
    </row>
    <row r="176" spans="1:6" ht="36" x14ac:dyDescent="0.3">
      <c r="A176" s="48" t="s">
        <v>19</v>
      </c>
      <c r="B176" s="52">
        <v>244</v>
      </c>
      <c r="C176" s="52">
        <v>223</v>
      </c>
      <c r="D176" s="3">
        <f t="shared" si="4"/>
        <v>0</v>
      </c>
      <c r="E176" s="1">
        <f t="shared" si="5"/>
        <v>0</v>
      </c>
      <c r="F176" s="1"/>
    </row>
    <row r="177" spans="1:6" ht="54" x14ac:dyDescent="0.3">
      <c r="A177" s="48" t="s">
        <v>20</v>
      </c>
      <c r="B177" s="52">
        <v>244</v>
      </c>
      <c r="C177" s="52">
        <v>223</v>
      </c>
      <c r="D177" s="3">
        <f t="shared" si="4"/>
        <v>686959.04</v>
      </c>
      <c r="E177" s="1">
        <f t="shared" si="5"/>
        <v>686959.04</v>
      </c>
      <c r="F177" s="1"/>
    </row>
    <row r="178" spans="1:6" ht="72" x14ac:dyDescent="0.3">
      <c r="A178" s="48" t="s">
        <v>21</v>
      </c>
      <c r="B178" s="52">
        <v>244</v>
      </c>
      <c r="C178" s="52">
        <v>223</v>
      </c>
      <c r="D178" s="3">
        <f t="shared" si="4"/>
        <v>315010.20000000007</v>
      </c>
      <c r="E178" s="1">
        <f t="shared" si="5"/>
        <v>315010.20000000007</v>
      </c>
      <c r="F178" s="1"/>
    </row>
    <row r="179" spans="1:6" ht="54" x14ac:dyDescent="0.3">
      <c r="A179" s="48" t="s">
        <v>22</v>
      </c>
      <c r="B179" s="52">
        <v>244</v>
      </c>
      <c r="C179" s="52">
        <v>223</v>
      </c>
      <c r="D179" s="3">
        <f t="shared" si="4"/>
        <v>120239.28000000001</v>
      </c>
      <c r="E179" s="1">
        <f t="shared" si="5"/>
        <v>120239.28000000001</v>
      </c>
      <c r="F179" s="1"/>
    </row>
    <row r="180" spans="1:6" ht="162" x14ac:dyDescent="0.3">
      <c r="A180" s="48" t="s">
        <v>23</v>
      </c>
      <c r="B180" s="52">
        <v>244</v>
      </c>
      <c r="C180" s="52">
        <v>224</v>
      </c>
      <c r="D180" s="3">
        <f t="shared" si="4"/>
        <v>0</v>
      </c>
      <c r="E180" s="1">
        <f t="shared" si="5"/>
        <v>0</v>
      </c>
      <c r="F180" s="1"/>
    </row>
    <row r="181" spans="1:6" ht="54" x14ac:dyDescent="0.3">
      <c r="A181" s="48" t="s">
        <v>24</v>
      </c>
      <c r="B181" s="52" t="s">
        <v>5</v>
      </c>
      <c r="C181" s="52">
        <v>225</v>
      </c>
      <c r="D181" s="1">
        <f>D182+D183</f>
        <v>183571.76</v>
      </c>
      <c r="E181" s="1">
        <f>E182+E183</f>
        <v>183571.76</v>
      </c>
      <c r="F181" s="1">
        <f>F182+F183</f>
        <v>0</v>
      </c>
    </row>
    <row r="182" spans="1:6" ht="18" x14ac:dyDescent="0.3">
      <c r="A182" s="385" t="s">
        <v>6</v>
      </c>
      <c r="B182" s="52">
        <v>243</v>
      </c>
      <c r="C182" s="52">
        <v>225</v>
      </c>
      <c r="D182" s="3">
        <f t="shared" ref="D182:D192" si="6">E182+F182</f>
        <v>0</v>
      </c>
      <c r="E182" s="1">
        <f>E47-E140</f>
        <v>0</v>
      </c>
      <c r="F182" s="1"/>
    </row>
    <row r="183" spans="1:6" ht="18" x14ac:dyDescent="0.3">
      <c r="A183" s="385"/>
      <c r="B183" s="52">
        <v>244</v>
      </c>
      <c r="C183" s="52">
        <v>225</v>
      </c>
      <c r="D183" s="3">
        <f t="shared" si="6"/>
        <v>183571.76</v>
      </c>
      <c r="E183" s="1">
        <f>E48-E141</f>
        <v>183571.76</v>
      </c>
      <c r="F183" s="1"/>
    </row>
    <row r="184" spans="1:6" ht="36" x14ac:dyDescent="0.3">
      <c r="A184" s="48" t="s">
        <v>58</v>
      </c>
      <c r="B184" s="52" t="s">
        <v>5</v>
      </c>
      <c r="C184" s="52">
        <v>226</v>
      </c>
      <c r="D184" s="3">
        <f t="shared" si="6"/>
        <v>1661002.7999999998</v>
      </c>
      <c r="E184" s="1">
        <f>E185+E186</f>
        <v>1661002.7999999998</v>
      </c>
      <c r="F184" s="1">
        <f>F185+F186</f>
        <v>0</v>
      </c>
    </row>
    <row r="185" spans="1:6" ht="18" x14ac:dyDescent="0.3">
      <c r="A185" s="385" t="s">
        <v>6</v>
      </c>
      <c r="B185" s="52">
        <v>243</v>
      </c>
      <c r="C185" s="52">
        <v>226</v>
      </c>
      <c r="D185" s="3">
        <f t="shared" si="6"/>
        <v>0</v>
      </c>
      <c r="E185" s="1">
        <f>E53-E143</f>
        <v>0</v>
      </c>
      <c r="F185" s="1"/>
    </row>
    <row r="186" spans="1:6" ht="18" x14ac:dyDescent="0.3">
      <c r="A186" s="385"/>
      <c r="B186" s="52">
        <v>244</v>
      </c>
      <c r="C186" s="52">
        <v>226</v>
      </c>
      <c r="D186" s="3">
        <f t="shared" si="6"/>
        <v>1661002.7999999998</v>
      </c>
      <c r="E186" s="1">
        <f>E54-E144</f>
        <v>1661002.7999999998</v>
      </c>
      <c r="F186" s="1"/>
    </row>
    <row r="187" spans="1:6" ht="18" x14ac:dyDescent="0.3">
      <c r="A187" s="48" t="s">
        <v>25</v>
      </c>
      <c r="B187" s="52">
        <v>244</v>
      </c>
      <c r="C187" s="52">
        <v>227</v>
      </c>
      <c r="D187" s="3">
        <f t="shared" si="6"/>
        <v>20851.260000000002</v>
      </c>
      <c r="E187" s="1">
        <f>E55-E145</f>
        <v>20851.260000000002</v>
      </c>
      <c r="F187" s="1"/>
    </row>
    <row r="188" spans="1:6" ht="18" x14ac:dyDescent="0.3">
      <c r="A188" s="48" t="s">
        <v>30</v>
      </c>
      <c r="B188" s="52" t="s">
        <v>5</v>
      </c>
      <c r="C188" s="52">
        <v>290</v>
      </c>
      <c r="D188" s="3">
        <f t="shared" si="6"/>
        <v>0</v>
      </c>
      <c r="E188" s="1">
        <f>E190+E191</f>
        <v>0</v>
      </c>
      <c r="F188" s="1">
        <f>F190+F191</f>
        <v>0</v>
      </c>
    </row>
    <row r="189" spans="1:6" ht="18" x14ac:dyDescent="0.3">
      <c r="A189" s="48" t="s">
        <v>9</v>
      </c>
      <c r="B189" s="52"/>
      <c r="C189" s="52"/>
      <c r="D189" s="3">
        <f t="shared" si="6"/>
        <v>0</v>
      </c>
      <c r="E189" s="1"/>
      <c r="F189" s="1"/>
    </row>
    <row r="190" spans="1:6" ht="54" x14ac:dyDescent="0.3">
      <c r="A190" s="48" t="s">
        <v>34</v>
      </c>
      <c r="B190" s="52">
        <v>244</v>
      </c>
      <c r="C190" s="52">
        <v>296</v>
      </c>
      <c r="D190" s="3">
        <f t="shared" si="6"/>
        <v>0</v>
      </c>
      <c r="E190" s="1">
        <f>E75-E148</f>
        <v>0</v>
      </c>
      <c r="F190" s="1"/>
    </row>
    <row r="191" spans="1:6" ht="54" x14ac:dyDescent="0.3">
      <c r="A191" s="48" t="s">
        <v>35</v>
      </c>
      <c r="B191" s="52">
        <v>244</v>
      </c>
      <c r="C191" s="52">
        <v>297</v>
      </c>
      <c r="D191" s="3">
        <f t="shared" si="6"/>
        <v>0</v>
      </c>
      <c r="E191" s="1">
        <f>E82-E149</f>
        <v>0</v>
      </c>
      <c r="F191" s="1"/>
    </row>
    <row r="192" spans="1:6" ht="54" x14ac:dyDescent="0.3">
      <c r="A192" s="48" t="s">
        <v>59</v>
      </c>
      <c r="B192" s="52" t="s">
        <v>5</v>
      </c>
      <c r="C192" s="52">
        <v>300</v>
      </c>
      <c r="D192" s="3">
        <f t="shared" si="6"/>
        <v>477529.94</v>
      </c>
      <c r="E192" s="1">
        <f>E194+E196+E195</f>
        <v>477529.94</v>
      </c>
      <c r="F192" s="1">
        <f>F194+F196+F195</f>
        <v>0</v>
      </c>
    </row>
    <row r="193" spans="1:6" ht="18" x14ac:dyDescent="0.3">
      <c r="A193" s="48" t="s">
        <v>9</v>
      </c>
      <c r="B193" s="52"/>
      <c r="C193" s="52"/>
      <c r="D193" s="3"/>
      <c r="E193" s="1"/>
      <c r="F193" s="1"/>
    </row>
    <row r="194" spans="1:6" ht="54" x14ac:dyDescent="0.3">
      <c r="A194" s="48" t="s">
        <v>36</v>
      </c>
      <c r="B194" s="52">
        <v>244</v>
      </c>
      <c r="C194" s="52">
        <v>310</v>
      </c>
      <c r="D194" s="3">
        <f>E194+F194</f>
        <v>0</v>
      </c>
      <c r="E194" s="1">
        <f>E88-E152</f>
        <v>0</v>
      </c>
      <c r="F194" s="1"/>
    </row>
    <row r="195" spans="1:6" ht="72" x14ac:dyDescent="0.3">
      <c r="A195" s="48" t="s">
        <v>68</v>
      </c>
      <c r="B195" s="52">
        <v>244</v>
      </c>
      <c r="C195" s="52">
        <v>320</v>
      </c>
      <c r="D195" s="3">
        <f>E195+F195</f>
        <v>0</v>
      </c>
      <c r="E195" s="1">
        <f>E89-E153</f>
        <v>0</v>
      </c>
      <c r="F195" s="1"/>
    </row>
    <row r="196" spans="1:6" ht="72" x14ac:dyDescent="0.3">
      <c r="A196" s="48" t="s">
        <v>60</v>
      </c>
      <c r="B196" s="52" t="s">
        <v>5</v>
      </c>
      <c r="C196" s="52">
        <v>340</v>
      </c>
      <c r="D196" s="3">
        <f>E196+F196</f>
        <v>477529.94</v>
      </c>
      <c r="E196" s="1">
        <f>E198+E199+E200+E201+E202+E203+E204</f>
        <v>477529.94</v>
      </c>
      <c r="F196" s="1">
        <f>F198+F199+F200+F201+F202+F203+F204</f>
        <v>0</v>
      </c>
    </row>
    <row r="197" spans="1:6" ht="18" x14ac:dyDescent="0.3">
      <c r="A197" s="48" t="s">
        <v>6</v>
      </c>
      <c r="B197" s="52"/>
      <c r="C197" s="52"/>
      <c r="D197" s="3"/>
      <c r="E197" s="1"/>
      <c r="F197" s="1"/>
    </row>
    <row r="198" spans="1:6" ht="126" x14ac:dyDescent="0.3">
      <c r="A198" s="48" t="s">
        <v>37</v>
      </c>
      <c r="B198" s="52">
        <v>244</v>
      </c>
      <c r="C198" s="52">
        <v>341</v>
      </c>
      <c r="D198" s="3">
        <f t="shared" ref="D198:D204" si="7">E198+F198</f>
        <v>0</v>
      </c>
      <c r="E198" s="1">
        <f t="shared" ref="E198:E203" si="8">E92-E156</f>
        <v>0</v>
      </c>
      <c r="F198" s="1"/>
    </row>
    <row r="199" spans="1:6" ht="54" x14ac:dyDescent="0.3">
      <c r="A199" s="48" t="s">
        <v>38</v>
      </c>
      <c r="B199" s="52">
        <v>244</v>
      </c>
      <c r="C199" s="52">
        <v>342</v>
      </c>
      <c r="D199" s="3">
        <f t="shared" si="7"/>
        <v>0</v>
      </c>
      <c r="E199" s="1">
        <f t="shared" si="8"/>
        <v>0</v>
      </c>
      <c r="F199" s="1"/>
    </row>
    <row r="200" spans="1:6" ht="72" x14ac:dyDescent="0.3">
      <c r="A200" s="48" t="s">
        <v>39</v>
      </c>
      <c r="B200" s="52">
        <v>244</v>
      </c>
      <c r="C200" s="52">
        <v>343</v>
      </c>
      <c r="D200" s="3">
        <f t="shared" si="7"/>
        <v>0</v>
      </c>
      <c r="E200" s="1">
        <f t="shared" si="8"/>
        <v>0</v>
      </c>
      <c r="F200" s="1"/>
    </row>
    <row r="201" spans="1:6" ht="72" x14ac:dyDescent="0.3">
      <c r="A201" s="48" t="s">
        <v>40</v>
      </c>
      <c r="B201" s="52">
        <v>244</v>
      </c>
      <c r="C201" s="52">
        <v>344</v>
      </c>
      <c r="D201" s="3">
        <f t="shared" si="7"/>
        <v>0</v>
      </c>
      <c r="E201" s="1">
        <f t="shared" si="8"/>
        <v>0</v>
      </c>
      <c r="F201" s="1"/>
    </row>
    <row r="202" spans="1:6" ht="54" x14ac:dyDescent="0.3">
      <c r="A202" s="48" t="s">
        <v>41</v>
      </c>
      <c r="B202" s="52">
        <v>244</v>
      </c>
      <c r="C202" s="52">
        <v>345</v>
      </c>
      <c r="D202" s="3">
        <f t="shared" si="7"/>
        <v>0</v>
      </c>
      <c r="E202" s="1">
        <f t="shared" si="8"/>
        <v>0</v>
      </c>
      <c r="F202" s="1"/>
    </row>
    <row r="203" spans="1:6" ht="72" x14ac:dyDescent="0.3">
      <c r="A203" s="48" t="s">
        <v>42</v>
      </c>
      <c r="B203" s="52">
        <v>244</v>
      </c>
      <c r="C203" s="52">
        <v>346</v>
      </c>
      <c r="D203" s="3">
        <f t="shared" si="7"/>
        <v>477529.94</v>
      </c>
      <c r="E203" s="1">
        <f t="shared" si="8"/>
        <v>477529.94</v>
      </c>
      <c r="F203" s="1"/>
    </row>
    <row r="204" spans="1:6" ht="108" x14ac:dyDescent="0.3">
      <c r="A204" s="48" t="s">
        <v>43</v>
      </c>
      <c r="B204" s="52">
        <v>244</v>
      </c>
      <c r="C204" s="52">
        <v>349</v>
      </c>
      <c r="D204" s="3">
        <f t="shared" si="7"/>
        <v>0</v>
      </c>
      <c r="E204" s="1">
        <f>E99-E162</f>
        <v>0</v>
      </c>
      <c r="F204" s="1"/>
    </row>
  </sheetData>
  <mergeCells count="31">
    <mergeCell ref="A106:B106"/>
    <mergeCell ref="A109:B109"/>
    <mergeCell ref="A182:A183"/>
    <mergeCell ref="A185:A186"/>
    <mergeCell ref="A115:B115"/>
    <mergeCell ref="A140:A141"/>
    <mergeCell ref="A143:A144"/>
    <mergeCell ref="A163:F163"/>
    <mergeCell ref="E106:F106"/>
    <mergeCell ref="E107:F107"/>
    <mergeCell ref="E109:F109"/>
    <mergeCell ref="E110:F110"/>
    <mergeCell ref="E112:F112"/>
    <mergeCell ref="E113:F113"/>
    <mergeCell ref="A117:F117"/>
    <mergeCell ref="A121:F121"/>
    <mergeCell ref="A82:A85"/>
    <mergeCell ref="A5:A6"/>
    <mergeCell ref="B5:B6"/>
    <mergeCell ref="C5:C6"/>
    <mergeCell ref="A33:A34"/>
    <mergeCell ref="A47:A48"/>
    <mergeCell ref="A50:A54"/>
    <mergeCell ref="A68:A70"/>
    <mergeCell ref="A27:A28"/>
    <mergeCell ref="D5:D6"/>
    <mergeCell ref="E5:F5"/>
    <mergeCell ref="A1:F1"/>
    <mergeCell ref="A2:F2"/>
    <mergeCell ref="A75:A80"/>
    <mergeCell ref="A61:A63"/>
  </mergeCells>
  <pageMargins left="1.3779527559055118" right="0.39370078740157483" top="0.98425196850393704" bottom="0.78740157480314965" header="0.31496062992125984" footer="0.31496062992125984"/>
  <pageSetup paperSize="9" scale="7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05"/>
  <sheetViews>
    <sheetView zoomScaleNormal="100" workbookViewId="0">
      <selection activeCell="D5" sqref="D5:D7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9" width="18.5546875" style="5" customWidth="1"/>
    <col min="10" max="16384" width="8.88671875" style="5"/>
  </cols>
  <sheetData>
    <row r="1" spans="1:9" ht="17.399999999999999" x14ac:dyDescent="0.3">
      <c r="A1" s="384" t="s">
        <v>262</v>
      </c>
      <c r="B1" s="384"/>
      <c r="C1" s="384"/>
      <c r="D1" s="384"/>
      <c r="E1" s="384"/>
      <c r="F1" s="384"/>
      <c r="G1" s="384"/>
      <c r="H1" s="384"/>
      <c r="I1" s="384"/>
    </row>
    <row r="2" spans="1:9" ht="17.399999999999999" x14ac:dyDescent="0.3">
      <c r="A2" s="384" t="s">
        <v>74</v>
      </c>
      <c r="B2" s="384"/>
      <c r="C2" s="384"/>
      <c r="D2" s="384"/>
      <c r="E2" s="384"/>
      <c r="F2" s="384"/>
      <c r="G2" s="384"/>
      <c r="H2" s="384"/>
      <c r="I2" s="384"/>
    </row>
    <row r="3" spans="1:9" ht="15" x14ac:dyDescent="0.3">
      <c r="A3" s="28"/>
    </row>
    <row r="4" spans="1:9" ht="18.600000000000001" thickBot="1" x14ac:dyDescent="0.35">
      <c r="A4" s="4"/>
      <c r="F4" s="4"/>
      <c r="G4" s="4"/>
      <c r="I4" s="4" t="s">
        <v>51</v>
      </c>
    </row>
    <row r="5" spans="1:9" ht="30.6" customHeight="1" x14ac:dyDescent="0.3">
      <c r="A5" s="389" t="s">
        <v>0</v>
      </c>
      <c r="B5" s="382" t="s">
        <v>45</v>
      </c>
      <c r="C5" s="391" t="s">
        <v>46</v>
      </c>
      <c r="D5" s="382" t="s">
        <v>1</v>
      </c>
      <c r="E5" s="382" t="s">
        <v>73</v>
      </c>
      <c r="F5" s="382"/>
      <c r="G5" s="382" t="s">
        <v>1</v>
      </c>
      <c r="H5" s="382" t="s">
        <v>73</v>
      </c>
      <c r="I5" s="531"/>
    </row>
    <row r="6" spans="1:9" ht="15.6" x14ac:dyDescent="0.3">
      <c r="A6" s="611"/>
      <c r="B6" s="404"/>
      <c r="C6" s="406"/>
      <c r="D6" s="404"/>
      <c r="E6" s="404" t="s">
        <v>6</v>
      </c>
      <c r="F6" s="404"/>
      <c r="G6" s="404"/>
      <c r="H6" s="404" t="s">
        <v>6</v>
      </c>
      <c r="I6" s="608"/>
    </row>
    <row r="7" spans="1:9" ht="212.4" customHeight="1" thickBot="1" x14ac:dyDescent="0.35">
      <c r="A7" s="390"/>
      <c r="B7" s="383"/>
      <c r="C7" s="392"/>
      <c r="D7" s="383"/>
      <c r="E7" s="105" t="s">
        <v>197</v>
      </c>
      <c r="F7" s="105" t="s">
        <v>198</v>
      </c>
      <c r="G7" s="383"/>
      <c r="H7" s="105" t="s">
        <v>197</v>
      </c>
      <c r="I7" s="35" t="s">
        <v>198</v>
      </c>
    </row>
    <row r="8" spans="1:9" ht="18.600000000000001" thickBot="1" x14ac:dyDescent="0.35">
      <c r="A8" s="83">
        <v>1</v>
      </c>
      <c r="B8" s="84">
        <v>2</v>
      </c>
      <c r="C8" s="84">
        <v>3</v>
      </c>
      <c r="D8" s="84">
        <v>4</v>
      </c>
      <c r="E8" s="84">
        <v>5</v>
      </c>
      <c r="F8" s="84">
        <v>6</v>
      </c>
      <c r="G8" s="84">
        <v>7</v>
      </c>
      <c r="H8" s="84">
        <v>8</v>
      </c>
      <c r="I8" s="85">
        <v>9</v>
      </c>
    </row>
    <row r="9" spans="1:9" ht="18" x14ac:dyDescent="0.3">
      <c r="A9" s="86" t="s">
        <v>183</v>
      </c>
      <c r="B9" s="87" t="s">
        <v>5</v>
      </c>
      <c r="C9" s="87" t="s">
        <v>5</v>
      </c>
      <c r="D9" s="88">
        <f>E9+F9</f>
        <v>0</v>
      </c>
      <c r="E9" s="89"/>
      <c r="F9" s="89"/>
      <c r="G9" s="88">
        <f>H9+I9</f>
        <v>0</v>
      </c>
      <c r="H9" s="89"/>
      <c r="I9" s="90"/>
    </row>
    <row r="10" spans="1:9" ht="18" x14ac:dyDescent="0.3">
      <c r="A10" s="103" t="s">
        <v>7</v>
      </c>
      <c r="B10" s="107" t="s">
        <v>5</v>
      </c>
      <c r="C10" s="107">
        <v>900</v>
      </c>
      <c r="D10" s="3">
        <f>E10+F10</f>
        <v>0</v>
      </c>
      <c r="E10" s="1">
        <f>E13+E41</f>
        <v>0</v>
      </c>
      <c r="F10" s="1">
        <f>F13+F41</f>
        <v>0</v>
      </c>
      <c r="G10" s="3">
        <f>H10+I10</f>
        <v>0</v>
      </c>
      <c r="H10" s="1">
        <f>H13+H41</f>
        <v>0</v>
      </c>
      <c r="I10" s="2">
        <f>I13+I41</f>
        <v>0</v>
      </c>
    </row>
    <row r="11" spans="1:9" ht="18" x14ac:dyDescent="0.3">
      <c r="A11" s="103" t="s">
        <v>6</v>
      </c>
      <c r="B11" s="107"/>
      <c r="C11" s="107"/>
      <c r="D11" s="3"/>
      <c r="E11" s="1"/>
      <c r="F11" s="1"/>
      <c r="G11" s="3"/>
      <c r="H11" s="1"/>
      <c r="I11" s="2"/>
    </row>
    <row r="12" spans="1:9" ht="33.6" customHeight="1" x14ac:dyDescent="0.3">
      <c r="A12" s="609" t="s">
        <v>199</v>
      </c>
      <c r="B12" s="403"/>
      <c r="C12" s="403"/>
      <c r="D12" s="403"/>
      <c r="E12" s="403"/>
      <c r="F12" s="403"/>
      <c r="G12" s="403"/>
      <c r="H12" s="403"/>
      <c r="I12" s="610"/>
    </row>
    <row r="13" spans="1:9" ht="18" x14ac:dyDescent="0.3">
      <c r="A13" s="103" t="s">
        <v>8</v>
      </c>
      <c r="B13" s="107" t="s">
        <v>5</v>
      </c>
      <c r="C13" s="107">
        <v>200</v>
      </c>
      <c r="D13" s="3">
        <f t="shared" ref="D13:D45" si="0">E13+F13</f>
        <v>0</v>
      </c>
      <c r="E13" s="1">
        <f>E15+E18+E37</f>
        <v>0</v>
      </c>
      <c r="F13" s="1">
        <f>F15+F18+F37</f>
        <v>0</v>
      </c>
      <c r="G13" s="3">
        <f>H13+I13</f>
        <v>0</v>
      </c>
      <c r="H13" s="1">
        <f>H15+H18+H37</f>
        <v>0</v>
      </c>
      <c r="I13" s="2">
        <f>I15+I18+I37</f>
        <v>0</v>
      </c>
    </row>
    <row r="14" spans="1:9" ht="14.4" customHeight="1" x14ac:dyDescent="0.3">
      <c r="A14" s="103" t="s">
        <v>9</v>
      </c>
      <c r="B14" s="107"/>
      <c r="C14" s="107"/>
      <c r="D14" s="3"/>
      <c r="E14" s="1"/>
      <c r="F14" s="1"/>
      <c r="G14" s="3"/>
      <c r="H14" s="1"/>
      <c r="I14" s="2"/>
    </row>
    <row r="15" spans="1:9" ht="72" x14ac:dyDescent="0.3">
      <c r="A15" s="103" t="s">
        <v>10</v>
      </c>
      <c r="B15" s="107" t="s">
        <v>5</v>
      </c>
      <c r="C15" s="107">
        <v>210</v>
      </c>
      <c r="D15" s="3">
        <f t="shared" si="0"/>
        <v>0</v>
      </c>
      <c r="E15" s="1">
        <f>E17</f>
        <v>0</v>
      </c>
      <c r="F15" s="1">
        <f>F17</f>
        <v>0</v>
      </c>
      <c r="G15" s="3">
        <f>H15+I15</f>
        <v>0</v>
      </c>
      <c r="H15" s="1">
        <f>H17</f>
        <v>0</v>
      </c>
      <c r="I15" s="2">
        <f>I17</f>
        <v>0</v>
      </c>
    </row>
    <row r="16" spans="1:9" ht="18" x14ac:dyDescent="0.3">
      <c r="A16" s="103" t="s">
        <v>9</v>
      </c>
      <c r="B16" s="107"/>
      <c r="C16" s="107"/>
      <c r="D16" s="3"/>
      <c r="E16" s="1"/>
      <c r="F16" s="1"/>
      <c r="G16" s="3"/>
      <c r="H16" s="1"/>
      <c r="I16" s="2"/>
    </row>
    <row r="17" spans="1:9" ht="72" x14ac:dyDescent="0.3">
      <c r="A17" s="103" t="s">
        <v>200</v>
      </c>
      <c r="B17" s="107">
        <v>244</v>
      </c>
      <c r="C17" s="107">
        <v>214</v>
      </c>
      <c r="D17" s="3">
        <f>E17+F17</f>
        <v>0</v>
      </c>
      <c r="E17" s="1"/>
      <c r="F17" s="1"/>
      <c r="G17" s="3">
        <f>H17+I17</f>
        <v>0</v>
      </c>
      <c r="H17" s="1"/>
      <c r="I17" s="2"/>
    </row>
    <row r="18" spans="1:9" ht="36" x14ac:dyDescent="0.3">
      <c r="A18" s="103" t="s">
        <v>14</v>
      </c>
      <c r="B18" s="107" t="s">
        <v>5</v>
      </c>
      <c r="C18" s="107">
        <v>220</v>
      </c>
      <c r="D18" s="3">
        <f t="shared" si="0"/>
        <v>0</v>
      </c>
      <c r="E18" s="1">
        <f>E20+E21+E22+E29+E30+E33+E36</f>
        <v>0</v>
      </c>
      <c r="F18" s="1">
        <f>F20+F21+F22+F29+F30+F33+F36</f>
        <v>0</v>
      </c>
      <c r="G18" s="3">
        <f>H18+I18</f>
        <v>0</v>
      </c>
      <c r="H18" s="1">
        <f>H20+H21+H22+H29+H30+H33+H36</f>
        <v>0</v>
      </c>
      <c r="I18" s="2">
        <f>I20+I21+I22+I29+I30+I33+I36</f>
        <v>0</v>
      </c>
    </row>
    <row r="19" spans="1:9" ht="18" x14ac:dyDescent="0.3">
      <c r="A19" s="103" t="s">
        <v>9</v>
      </c>
      <c r="B19" s="107"/>
      <c r="C19" s="107"/>
      <c r="D19" s="3"/>
      <c r="E19" s="1"/>
      <c r="F19" s="1"/>
      <c r="G19" s="3"/>
      <c r="H19" s="1"/>
      <c r="I19" s="2"/>
    </row>
    <row r="20" spans="1:9" ht="18" x14ac:dyDescent="0.3">
      <c r="A20" s="103" t="s">
        <v>15</v>
      </c>
      <c r="B20" s="107">
        <v>244</v>
      </c>
      <c r="C20" s="107">
        <v>221</v>
      </c>
      <c r="D20" s="3">
        <f t="shared" si="0"/>
        <v>0</v>
      </c>
      <c r="E20" s="1"/>
      <c r="F20" s="1"/>
      <c r="G20" s="3">
        <f>H20+I20</f>
        <v>0</v>
      </c>
      <c r="H20" s="1"/>
      <c r="I20" s="2"/>
    </row>
    <row r="21" spans="1:9" ht="36" x14ac:dyDescent="0.3">
      <c r="A21" s="103" t="s">
        <v>16</v>
      </c>
      <c r="B21" s="107">
        <v>244</v>
      </c>
      <c r="C21" s="107">
        <v>222</v>
      </c>
      <c r="D21" s="3">
        <f t="shared" si="0"/>
        <v>0</v>
      </c>
      <c r="E21" s="1"/>
      <c r="F21" s="1"/>
      <c r="G21" s="3">
        <f>H21+I21</f>
        <v>0</v>
      </c>
      <c r="H21" s="1"/>
      <c r="I21" s="2"/>
    </row>
    <row r="22" spans="1:9" ht="36" x14ac:dyDescent="0.3">
      <c r="A22" s="103" t="s">
        <v>17</v>
      </c>
      <c r="B22" s="107" t="s">
        <v>5</v>
      </c>
      <c r="C22" s="107">
        <v>223</v>
      </c>
      <c r="D22" s="3">
        <f t="shared" si="0"/>
        <v>0</v>
      </c>
      <c r="E22" s="1">
        <f>E24+E25+E26+E27+E28</f>
        <v>0</v>
      </c>
      <c r="F22" s="1">
        <f>F24+F25+F26+F27+F28</f>
        <v>0</v>
      </c>
      <c r="G22" s="3">
        <f>H22+I22</f>
        <v>0</v>
      </c>
      <c r="H22" s="1">
        <f>H24+H25+H26+H27+H28</f>
        <v>0</v>
      </c>
      <c r="I22" s="2">
        <f>I24+I25+I26+I27+I28</f>
        <v>0</v>
      </c>
    </row>
    <row r="23" spans="1:9" ht="18" x14ac:dyDescent="0.3">
      <c r="A23" s="103" t="s">
        <v>6</v>
      </c>
      <c r="B23" s="107"/>
      <c r="C23" s="107"/>
      <c r="D23" s="3"/>
      <c r="E23" s="1"/>
      <c r="F23" s="1"/>
      <c r="G23" s="3"/>
      <c r="H23" s="1"/>
      <c r="I23" s="2"/>
    </row>
    <row r="24" spans="1:9" ht="54" x14ac:dyDescent="0.3">
      <c r="A24" s="103" t="s">
        <v>18</v>
      </c>
      <c r="B24" s="107">
        <v>244</v>
      </c>
      <c r="C24" s="107">
        <v>223</v>
      </c>
      <c r="D24" s="3">
        <f t="shared" si="0"/>
        <v>0</v>
      </c>
      <c r="E24" s="1"/>
      <c r="F24" s="1"/>
      <c r="G24" s="3">
        <f t="shared" ref="G24:G29" si="1">H24+I24</f>
        <v>0</v>
      </c>
      <c r="H24" s="1"/>
      <c r="I24" s="2"/>
    </row>
    <row r="25" spans="1:9" ht="36" x14ac:dyDescent="0.3">
      <c r="A25" s="103" t="s">
        <v>19</v>
      </c>
      <c r="B25" s="107">
        <v>244</v>
      </c>
      <c r="C25" s="107">
        <v>223</v>
      </c>
      <c r="D25" s="3">
        <f t="shared" si="0"/>
        <v>0</v>
      </c>
      <c r="E25" s="1"/>
      <c r="F25" s="1"/>
      <c r="G25" s="3">
        <f t="shared" si="1"/>
        <v>0</v>
      </c>
      <c r="H25" s="1"/>
      <c r="I25" s="2"/>
    </row>
    <row r="26" spans="1:9" ht="65.400000000000006" customHeight="1" x14ac:dyDescent="0.3">
      <c r="A26" s="103" t="s">
        <v>20</v>
      </c>
      <c r="B26" s="107">
        <v>244</v>
      </c>
      <c r="C26" s="107">
        <v>223</v>
      </c>
      <c r="D26" s="3">
        <f t="shared" si="0"/>
        <v>0</v>
      </c>
      <c r="E26" s="1"/>
      <c r="F26" s="1"/>
      <c r="G26" s="3">
        <f t="shared" si="1"/>
        <v>0</v>
      </c>
      <c r="H26" s="1"/>
      <c r="I26" s="2"/>
    </row>
    <row r="27" spans="1:9" ht="72" x14ac:dyDescent="0.3">
      <c r="A27" s="103" t="s">
        <v>21</v>
      </c>
      <c r="B27" s="107">
        <v>244</v>
      </c>
      <c r="C27" s="107">
        <v>223</v>
      </c>
      <c r="D27" s="3">
        <f t="shared" si="0"/>
        <v>0</v>
      </c>
      <c r="E27" s="1"/>
      <c r="F27" s="1"/>
      <c r="G27" s="3">
        <f t="shared" si="1"/>
        <v>0</v>
      </c>
      <c r="H27" s="1"/>
      <c r="I27" s="2"/>
    </row>
    <row r="28" spans="1:9" ht="54" x14ac:dyDescent="0.3">
      <c r="A28" s="103" t="s">
        <v>22</v>
      </c>
      <c r="B28" s="107">
        <v>244</v>
      </c>
      <c r="C28" s="107">
        <v>223</v>
      </c>
      <c r="D28" s="3">
        <f t="shared" si="0"/>
        <v>0</v>
      </c>
      <c r="E28" s="1"/>
      <c r="F28" s="1"/>
      <c r="G28" s="3">
        <f t="shared" si="1"/>
        <v>0</v>
      </c>
      <c r="H28" s="1"/>
      <c r="I28" s="2"/>
    </row>
    <row r="29" spans="1:9" ht="162" x14ac:dyDescent="0.3">
      <c r="A29" s="103" t="s">
        <v>23</v>
      </c>
      <c r="B29" s="107">
        <v>244</v>
      </c>
      <c r="C29" s="107">
        <v>224</v>
      </c>
      <c r="D29" s="3">
        <f t="shared" si="0"/>
        <v>0</v>
      </c>
      <c r="E29" s="1"/>
      <c r="F29" s="1"/>
      <c r="G29" s="3">
        <f t="shared" si="1"/>
        <v>0</v>
      </c>
      <c r="H29" s="1"/>
      <c r="I29" s="2"/>
    </row>
    <row r="30" spans="1:9" ht="54" x14ac:dyDescent="0.3">
      <c r="A30" s="103" t="s">
        <v>24</v>
      </c>
      <c r="B30" s="107" t="s">
        <v>5</v>
      </c>
      <c r="C30" s="107">
        <v>225</v>
      </c>
      <c r="D30" s="1">
        <f t="shared" ref="D30:I30" si="2">D31+D32</f>
        <v>0</v>
      </c>
      <c r="E30" s="1">
        <f t="shared" si="2"/>
        <v>0</v>
      </c>
      <c r="F30" s="1">
        <f t="shared" si="2"/>
        <v>0</v>
      </c>
      <c r="G30" s="1">
        <f t="shared" si="2"/>
        <v>0</v>
      </c>
      <c r="H30" s="1">
        <f t="shared" si="2"/>
        <v>0</v>
      </c>
      <c r="I30" s="2">
        <f t="shared" si="2"/>
        <v>0</v>
      </c>
    </row>
    <row r="31" spans="1:9" ht="18" x14ac:dyDescent="0.3">
      <c r="A31" s="385" t="s">
        <v>6</v>
      </c>
      <c r="B31" s="107">
        <v>243</v>
      </c>
      <c r="C31" s="107">
        <v>225</v>
      </c>
      <c r="D31" s="3">
        <f t="shared" si="0"/>
        <v>0</v>
      </c>
      <c r="E31" s="1"/>
      <c r="F31" s="1"/>
      <c r="G31" s="3">
        <f t="shared" ref="G31:G41" si="3">H31+I31</f>
        <v>0</v>
      </c>
      <c r="H31" s="1"/>
      <c r="I31" s="2"/>
    </row>
    <row r="32" spans="1:9" ht="18" x14ac:dyDescent="0.3">
      <c r="A32" s="385"/>
      <c r="B32" s="107">
        <v>244</v>
      </c>
      <c r="C32" s="107">
        <v>225</v>
      </c>
      <c r="D32" s="3">
        <f t="shared" si="0"/>
        <v>0</v>
      </c>
      <c r="E32" s="1"/>
      <c r="F32" s="1"/>
      <c r="G32" s="3">
        <f t="shared" si="3"/>
        <v>0</v>
      </c>
      <c r="H32" s="1"/>
      <c r="I32" s="2"/>
    </row>
    <row r="33" spans="1:9" ht="36" x14ac:dyDescent="0.3">
      <c r="A33" s="103" t="s">
        <v>58</v>
      </c>
      <c r="B33" s="107" t="s">
        <v>5</v>
      </c>
      <c r="C33" s="107">
        <v>226</v>
      </c>
      <c r="D33" s="3">
        <f t="shared" si="0"/>
        <v>0</v>
      </c>
      <c r="E33" s="1">
        <f>E34+E35</f>
        <v>0</v>
      </c>
      <c r="F33" s="1">
        <f>F34+F35</f>
        <v>0</v>
      </c>
      <c r="G33" s="3">
        <f t="shared" si="3"/>
        <v>0</v>
      </c>
      <c r="H33" s="1">
        <f>H34+H35</f>
        <v>0</v>
      </c>
      <c r="I33" s="2">
        <f>I34+I35</f>
        <v>0</v>
      </c>
    </row>
    <row r="34" spans="1:9" ht="18" x14ac:dyDescent="0.3">
      <c r="A34" s="385" t="s">
        <v>6</v>
      </c>
      <c r="B34" s="107">
        <v>243</v>
      </c>
      <c r="C34" s="107">
        <v>226</v>
      </c>
      <c r="D34" s="3">
        <f t="shared" si="0"/>
        <v>0</v>
      </c>
      <c r="E34" s="1"/>
      <c r="F34" s="1"/>
      <c r="G34" s="3">
        <f t="shared" si="3"/>
        <v>0</v>
      </c>
      <c r="H34" s="1"/>
      <c r="I34" s="2"/>
    </row>
    <row r="35" spans="1:9" ht="18" x14ac:dyDescent="0.3">
      <c r="A35" s="385"/>
      <c r="B35" s="107">
        <v>244</v>
      </c>
      <c r="C35" s="107">
        <v>226</v>
      </c>
      <c r="D35" s="3">
        <f t="shared" si="0"/>
        <v>0</v>
      </c>
      <c r="E35" s="1"/>
      <c r="F35" s="1"/>
      <c r="G35" s="3">
        <f t="shared" si="3"/>
        <v>0</v>
      </c>
      <c r="H35" s="1"/>
      <c r="I35" s="2"/>
    </row>
    <row r="36" spans="1:9" ht="18" x14ac:dyDescent="0.3">
      <c r="A36" s="103" t="s">
        <v>25</v>
      </c>
      <c r="B36" s="107">
        <v>244</v>
      </c>
      <c r="C36" s="107">
        <v>227</v>
      </c>
      <c r="D36" s="3">
        <f t="shared" si="0"/>
        <v>0</v>
      </c>
      <c r="E36" s="1"/>
      <c r="F36" s="1"/>
      <c r="G36" s="3">
        <f t="shared" si="3"/>
        <v>0</v>
      </c>
      <c r="H36" s="1"/>
      <c r="I36" s="2"/>
    </row>
    <row r="37" spans="1:9" ht="18" x14ac:dyDescent="0.3">
      <c r="A37" s="103" t="s">
        <v>30</v>
      </c>
      <c r="B37" s="107" t="s">
        <v>5</v>
      </c>
      <c r="C37" s="107">
        <v>290</v>
      </c>
      <c r="D37" s="3">
        <f t="shared" si="0"/>
        <v>0</v>
      </c>
      <c r="E37" s="1">
        <f>E39+E40</f>
        <v>0</v>
      </c>
      <c r="F37" s="1">
        <f>F39+F40</f>
        <v>0</v>
      </c>
      <c r="G37" s="3">
        <f t="shared" si="3"/>
        <v>0</v>
      </c>
      <c r="H37" s="1">
        <f>H39+H40</f>
        <v>0</v>
      </c>
      <c r="I37" s="2">
        <f>I39+I40</f>
        <v>0</v>
      </c>
    </row>
    <row r="38" spans="1:9" ht="18" x14ac:dyDescent="0.3">
      <c r="A38" s="103" t="s">
        <v>9</v>
      </c>
      <c r="B38" s="107"/>
      <c r="C38" s="107"/>
      <c r="D38" s="3">
        <f t="shared" si="0"/>
        <v>0</v>
      </c>
      <c r="E38" s="1"/>
      <c r="F38" s="1"/>
      <c r="G38" s="3">
        <f t="shared" si="3"/>
        <v>0</v>
      </c>
      <c r="H38" s="1"/>
      <c r="I38" s="2"/>
    </row>
    <row r="39" spans="1:9" ht="54" x14ac:dyDescent="0.3">
      <c r="A39" s="103" t="s">
        <v>34</v>
      </c>
      <c r="B39" s="107">
        <v>244</v>
      </c>
      <c r="C39" s="107">
        <v>296</v>
      </c>
      <c r="D39" s="3">
        <f t="shared" si="0"/>
        <v>0</v>
      </c>
      <c r="E39" s="1"/>
      <c r="F39" s="1"/>
      <c r="G39" s="3">
        <f t="shared" si="3"/>
        <v>0</v>
      </c>
      <c r="H39" s="1"/>
      <c r="I39" s="2"/>
    </row>
    <row r="40" spans="1:9" ht="54" x14ac:dyDescent="0.3">
      <c r="A40" s="103" t="s">
        <v>35</v>
      </c>
      <c r="B40" s="107">
        <v>244</v>
      </c>
      <c r="C40" s="107">
        <v>297</v>
      </c>
      <c r="D40" s="3">
        <f t="shared" si="0"/>
        <v>0</v>
      </c>
      <c r="E40" s="1"/>
      <c r="F40" s="1"/>
      <c r="G40" s="3">
        <f t="shared" si="3"/>
        <v>0</v>
      </c>
      <c r="H40" s="1"/>
      <c r="I40" s="2"/>
    </row>
    <row r="41" spans="1:9" ht="54" x14ac:dyDescent="0.3">
      <c r="A41" s="103" t="s">
        <v>59</v>
      </c>
      <c r="B41" s="107" t="s">
        <v>5</v>
      </c>
      <c r="C41" s="107">
        <v>300</v>
      </c>
      <c r="D41" s="3">
        <f t="shared" si="0"/>
        <v>0</v>
      </c>
      <c r="E41" s="1">
        <f>E43+E45+E44</f>
        <v>0</v>
      </c>
      <c r="F41" s="1">
        <f>F43+F45+F44</f>
        <v>0</v>
      </c>
      <c r="G41" s="3">
        <f t="shared" si="3"/>
        <v>0</v>
      </c>
      <c r="H41" s="1">
        <f>H43+H45+H44</f>
        <v>0</v>
      </c>
      <c r="I41" s="2">
        <f>I43+I45+I44</f>
        <v>0</v>
      </c>
    </row>
    <row r="42" spans="1:9" ht="18" x14ac:dyDescent="0.3">
      <c r="A42" s="103" t="s">
        <v>9</v>
      </c>
      <c r="B42" s="107"/>
      <c r="C42" s="107"/>
      <c r="D42" s="3"/>
      <c r="E42" s="1"/>
      <c r="F42" s="1"/>
      <c r="G42" s="3"/>
      <c r="H42" s="1"/>
      <c r="I42" s="2"/>
    </row>
    <row r="43" spans="1:9" ht="14.4" customHeight="1" x14ac:dyDescent="0.3">
      <c r="A43" s="103" t="s">
        <v>36</v>
      </c>
      <c r="B43" s="107">
        <v>244</v>
      </c>
      <c r="C43" s="107">
        <v>310</v>
      </c>
      <c r="D43" s="3">
        <f t="shared" si="0"/>
        <v>0</v>
      </c>
      <c r="E43" s="1"/>
      <c r="F43" s="1"/>
      <c r="G43" s="3">
        <f>H43+I43</f>
        <v>0</v>
      </c>
      <c r="H43" s="1"/>
      <c r="I43" s="2"/>
    </row>
    <row r="44" spans="1:9" ht="72" x14ac:dyDescent="0.3">
      <c r="A44" s="103" t="s">
        <v>68</v>
      </c>
      <c r="B44" s="107">
        <v>244</v>
      </c>
      <c r="C44" s="107">
        <v>320</v>
      </c>
      <c r="D44" s="3">
        <f t="shared" si="0"/>
        <v>0</v>
      </c>
      <c r="E44" s="1"/>
      <c r="F44" s="1"/>
      <c r="G44" s="3">
        <f>H44+I44</f>
        <v>0</v>
      </c>
      <c r="H44" s="1"/>
      <c r="I44" s="2"/>
    </row>
    <row r="45" spans="1:9" ht="72" x14ac:dyDescent="0.3">
      <c r="A45" s="103" t="s">
        <v>60</v>
      </c>
      <c r="B45" s="107" t="s">
        <v>5</v>
      </c>
      <c r="C45" s="107">
        <v>340</v>
      </c>
      <c r="D45" s="3">
        <f t="shared" si="0"/>
        <v>0</v>
      </c>
      <c r="E45" s="1">
        <f>E47+E48+E49+E50+E51+E52+E53</f>
        <v>0</v>
      </c>
      <c r="F45" s="1">
        <f>F47+F48+F49+F50+F51+F52+F53</f>
        <v>0</v>
      </c>
      <c r="G45" s="3">
        <f>H45+I45</f>
        <v>0</v>
      </c>
      <c r="H45" s="1">
        <f>H47+H48+H49+H50+H51+H52+H53</f>
        <v>0</v>
      </c>
      <c r="I45" s="2">
        <f>I47+I48+I49+I50+I51+I52+I53</f>
        <v>0</v>
      </c>
    </row>
    <row r="46" spans="1:9" ht="18" x14ac:dyDescent="0.3">
      <c r="A46" s="103" t="s">
        <v>6</v>
      </c>
      <c r="B46" s="107"/>
      <c r="C46" s="107"/>
      <c r="D46" s="3"/>
      <c r="E46" s="1"/>
      <c r="F46" s="1"/>
      <c r="G46" s="3"/>
      <c r="H46" s="1"/>
      <c r="I46" s="2"/>
    </row>
    <row r="47" spans="1:9" ht="126" x14ac:dyDescent="0.3">
      <c r="A47" s="103" t="s">
        <v>37</v>
      </c>
      <c r="B47" s="107">
        <v>244</v>
      </c>
      <c r="C47" s="107">
        <v>341</v>
      </c>
      <c r="D47" s="3">
        <f t="shared" ref="D47:D53" si="4">E47+F47</f>
        <v>0</v>
      </c>
      <c r="E47" s="1"/>
      <c r="F47" s="1"/>
      <c r="G47" s="3">
        <f t="shared" ref="G47:G53" si="5">H47+I47</f>
        <v>0</v>
      </c>
      <c r="H47" s="1"/>
      <c r="I47" s="2"/>
    </row>
    <row r="48" spans="1:9" ht="54" x14ac:dyDescent="0.3">
      <c r="A48" s="103" t="s">
        <v>38</v>
      </c>
      <c r="B48" s="107">
        <v>244</v>
      </c>
      <c r="C48" s="107">
        <v>342</v>
      </c>
      <c r="D48" s="3">
        <f t="shared" si="4"/>
        <v>0</v>
      </c>
      <c r="E48" s="1"/>
      <c r="F48" s="1"/>
      <c r="G48" s="3">
        <f t="shared" si="5"/>
        <v>0</v>
      </c>
      <c r="H48" s="1"/>
      <c r="I48" s="2"/>
    </row>
    <row r="49" spans="1:9" ht="72" x14ac:dyDescent="0.3">
      <c r="A49" s="103" t="s">
        <v>39</v>
      </c>
      <c r="B49" s="107">
        <v>244</v>
      </c>
      <c r="C49" s="107">
        <v>343</v>
      </c>
      <c r="D49" s="3">
        <f t="shared" si="4"/>
        <v>0</v>
      </c>
      <c r="E49" s="1"/>
      <c r="F49" s="1"/>
      <c r="G49" s="3">
        <f t="shared" si="5"/>
        <v>0</v>
      </c>
      <c r="H49" s="1"/>
      <c r="I49" s="2"/>
    </row>
    <row r="50" spans="1:9" ht="72" x14ac:dyDescent="0.3">
      <c r="A50" s="103" t="s">
        <v>40</v>
      </c>
      <c r="B50" s="107">
        <v>244</v>
      </c>
      <c r="C50" s="107">
        <v>344</v>
      </c>
      <c r="D50" s="3">
        <f t="shared" si="4"/>
        <v>0</v>
      </c>
      <c r="E50" s="1"/>
      <c r="F50" s="1"/>
      <c r="G50" s="3">
        <f t="shared" si="5"/>
        <v>0</v>
      </c>
      <c r="H50" s="1"/>
      <c r="I50" s="2"/>
    </row>
    <row r="51" spans="1:9" ht="54" x14ac:dyDescent="0.3">
      <c r="A51" s="103" t="s">
        <v>41</v>
      </c>
      <c r="B51" s="107">
        <v>244</v>
      </c>
      <c r="C51" s="107">
        <v>345</v>
      </c>
      <c r="D51" s="3">
        <f t="shared" si="4"/>
        <v>0</v>
      </c>
      <c r="E51" s="1"/>
      <c r="F51" s="1"/>
      <c r="G51" s="3">
        <f t="shared" si="5"/>
        <v>0</v>
      </c>
      <c r="H51" s="1"/>
      <c r="I51" s="2"/>
    </row>
    <row r="52" spans="1:9" ht="72" x14ac:dyDescent="0.3">
      <c r="A52" s="103" t="s">
        <v>42</v>
      </c>
      <c r="B52" s="107">
        <v>244</v>
      </c>
      <c r="C52" s="107">
        <v>346</v>
      </c>
      <c r="D52" s="3">
        <f t="shared" si="4"/>
        <v>0</v>
      </c>
      <c r="E52" s="1"/>
      <c r="F52" s="1"/>
      <c r="G52" s="3">
        <f t="shared" si="5"/>
        <v>0</v>
      </c>
      <c r="H52" s="1"/>
      <c r="I52" s="2"/>
    </row>
    <row r="53" spans="1:9" ht="108" x14ac:dyDescent="0.3">
      <c r="A53" s="103" t="s">
        <v>43</v>
      </c>
      <c r="B53" s="107">
        <v>244</v>
      </c>
      <c r="C53" s="107">
        <v>349</v>
      </c>
      <c r="D53" s="3">
        <f t="shared" si="4"/>
        <v>0</v>
      </c>
      <c r="E53" s="1"/>
      <c r="F53" s="1"/>
      <c r="G53" s="3">
        <f t="shared" si="5"/>
        <v>0</v>
      </c>
      <c r="H53" s="1"/>
      <c r="I53" s="2"/>
    </row>
    <row r="54" spans="1:9" ht="32.4" customHeight="1" x14ac:dyDescent="0.3">
      <c r="A54" s="609" t="s">
        <v>201</v>
      </c>
      <c r="B54" s="403"/>
      <c r="C54" s="403"/>
      <c r="D54" s="403"/>
      <c r="E54" s="403"/>
      <c r="F54" s="403"/>
      <c r="G54" s="403"/>
      <c r="H54" s="403"/>
      <c r="I54" s="610"/>
    </row>
    <row r="55" spans="1:9" ht="18" x14ac:dyDescent="0.3">
      <c r="A55" s="103" t="s">
        <v>8</v>
      </c>
      <c r="B55" s="107" t="s">
        <v>5</v>
      </c>
      <c r="C55" s="107">
        <v>200</v>
      </c>
      <c r="D55" s="3">
        <f>E55+F55</f>
        <v>0</v>
      </c>
      <c r="E55" s="1">
        <f>E57+E60+E79</f>
        <v>0</v>
      </c>
      <c r="F55" s="1">
        <f>F57+F60+F79</f>
        <v>0</v>
      </c>
      <c r="G55" s="3">
        <f>H55+I55</f>
        <v>0</v>
      </c>
      <c r="H55" s="1">
        <f>H57+H60+H79</f>
        <v>0</v>
      </c>
      <c r="I55" s="2">
        <f>I57+I60+I79</f>
        <v>0</v>
      </c>
    </row>
    <row r="56" spans="1:9" ht="18" x14ac:dyDescent="0.3">
      <c r="A56" s="103" t="s">
        <v>9</v>
      </c>
      <c r="B56" s="107"/>
      <c r="C56" s="107"/>
      <c r="D56" s="3"/>
      <c r="E56" s="1"/>
      <c r="F56" s="1"/>
      <c r="G56" s="3"/>
      <c r="H56" s="1"/>
      <c r="I56" s="2"/>
    </row>
    <row r="57" spans="1:9" ht="72" x14ac:dyDescent="0.3">
      <c r="A57" s="103" t="s">
        <v>10</v>
      </c>
      <c r="B57" s="107" t="s">
        <v>5</v>
      </c>
      <c r="C57" s="107">
        <v>210</v>
      </c>
      <c r="D57" s="3">
        <f>E57+F57</f>
        <v>0</v>
      </c>
      <c r="E57" s="1">
        <f>E59</f>
        <v>0</v>
      </c>
      <c r="F57" s="1">
        <f>F59</f>
        <v>0</v>
      </c>
      <c r="G57" s="3">
        <f>H57+I57</f>
        <v>0</v>
      </c>
      <c r="H57" s="1">
        <f>H59</f>
        <v>0</v>
      </c>
      <c r="I57" s="2">
        <f>I59</f>
        <v>0</v>
      </c>
    </row>
    <row r="58" spans="1:9" ht="18" x14ac:dyDescent="0.3">
      <c r="A58" s="103" t="s">
        <v>9</v>
      </c>
      <c r="B58" s="107"/>
      <c r="C58" s="107"/>
      <c r="D58" s="3"/>
      <c r="E58" s="1"/>
      <c r="F58" s="1"/>
      <c r="G58" s="3"/>
      <c r="H58" s="1"/>
      <c r="I58" s="2"/>
    </row>
    <row r="59" spans="1:9" ht="72" x14ac:dyDescent="0.3">
      <c r="A59" s="103" t="s">
        <v>200</v>
      </c>
      <c r="B59" s="107">
        <v>244</v>
      </c>
      <c r="C59" s="107">
        <v>214</v>
      </c>
      <c r="D59" s="3">
        <f>E59+F59</f>
        <v>0</v>
      </c>
      <c r="E59" s="1"/>
      <c r="F59" s="1"/>
      <c r="G59" s="3">
        <f>H59+I59</f>
        <v>0</v>
      </c>
      <c r="H59" s="1"/>
      <c r="I59" s="2"/>
    </row>
    <row r="60" spans="1:9" ht="36" x14ac:dyDescent="0.3">
      <c r="A60" s="103" t="s">
        <v>14</v>
      </c>
      <c r="B60" s="107" t="s">
        <v>5</v>
      </c>
      <c r="C60" s="107">
        <v>220</v>
      </c>
      <c r="D60" s="3">
        <f>E60+F60</f>
        <v>0</v>
      </c>
      <c r="E60" s="1">
        <f>E62+E63+E64+E71+E72+E75+E78</f>
        <v>0</v>
      </c>
      <c r="F60" s="1">
        <f>F62+F63+F64+F71+F72+F75+F78</f>
        <v>0</v>
      </c>
      <c r="G60" s="3">
        <f>H60+I60</f>
        <v>0</v>
      </c>
      <c r="H60" s="1">
        <f>H62+H63+H64+H71+H72+H75+H78</f>
        <v>0</v>
      </c>
      <c r="I60" s="2">
        <f>I62+I63+I64+I71+I72+I75+I78</f>
        <v>0</v>
      </c>
    </row>
    <row r="61" spans="1:9" ht="18" x14ac:dyDescent="0.3">
      <c r="A61" s="103" t="s">
        <v>9</v>
      </c>
      <c r="B61" s="107"/>
      <c r="C61" s="107"/>
      <c r="D61" s="3"/>
      <c r="E61" s="1"/>
      <c r="F61" s="1"/>
      <c r="G61" s="3"/>
      <c r="H61" s="1"/>
      <c r="I61" s="2"/>
    </row>
    <row r="62" spans="1:9" ht="18" x14ac:dyDescent="0.3">
      <c r="A62" s="103" t="s">
        <v>15</v>
      </c>
      <c r="B62" s="107">
        <v>244</v>
      </c>
      <c r="C62" s="107">
        <v>221</v>
      </c>
      <c r="D62" s="3">
        <f>E62+F62</f>
        <v>0</v>
      </c>
      <c r="E62" s="1"/>
      <c r="F62" s="1"/>
      <c r="G62" s="3">
        <f>H62+I62</f>
        <v>0</v>
      </c>
      <c r="H62" s="1"/>
      <c r="I62" s="2"/>
    </row>
    <row r="63" spans="1:9" ht="36" x14ac:dyDescent="0.3">
      <c r="A63" s="103" t="s">
        <v>16</v>
      </c>
      <c r="B63" s="107">
        <v>244</v>
      </c>
      <c r="C63" s="107">
        <v>222</v>
      </c>
      <c r="D63" s="3">
        <f>E63+F63</f>
        <v>0</v>
      </c>
      <c r="E63" s="1"/>
      <c r="F63" s="1"/>
      <c r="G63" s="3">
        <f>H63+I63</f>
        <v>0</v>
      </c>
      <c r="H63" s="1"/>
      <c r="I63" s="2"/>
    </row>
    <row r="64" spans="1:9" ht="36" x14ac:dyDescent="0.3">
      <c r="A64" s="103" t="s">
        <v>17</v>
      </c>
      <c r="B64" s="107" t="s">
        <v>5</v>
      </c>
      <c r="C64" s="107">
        <v>223</v>
      </c>
      <c r="D64" s="3">
        <f>E64+F64</f>
        <v>0</v>
      </c>
      <c r="E64" s="1">
        <f>E66+E67+E68+E69+E70</f>
        <v>0</v>
      </c>
      <c r="F64" s="1">
        <f>F66+F67+F68+F69+F70</f>
        <v>0</v>
      </c>
      <c r="G64" s="3">
        <f>H64+I64</f>
        <v>0</v>
      </c>
      <c r="H64" s="1">
        <f>H66+H67+H68+H69+H70</f>
        <v>0</v>
      </c>
      <c r="I64" s="2">
        <f>I66+I67+I68+I69+I70</f>
        <v>0</v>
      </c>
    </row>
    <row r="65" spans="1:9" ht="18" x14ac:dyDescent="0.3">
      <c r="A65" s="103" t="s">
        <v>6</v>
      </c>
      <c r="B65" s="107"/>
      <c r="C65" s="107"/>
      <c r="D65" s="3"/>
      <c r="E65" s="1"/>
      <c r="F65" s="1"/>
      <c r="G65" s="3"/>
      <c r="H65" s="1"/>
      <c r="I65" s="2"/>
    </row>
    <row r="66" spans="1:9" ht="54" x14ac:dyDescent="0.3">
      <c r="A66" s="103" t="s">
        <v>18</v>
      </c>
      <c r="B66" s="107">
        <v>244</v>
      </c>
      <c r="C66" s="107">
        <v>223</v>
      </c>
      <c r="D66" s="3">
        <f t="shared" ref="D66:D71" si="6">E66+F66</f>
        <v>0</v>
      </c>
      <c r="E66" s="1"/>
      <c r="F66" s="1"/>
      <c r="G66" s="3">
        <f t="shared" ref="G66:G71" si="7">H66+I66</f>
        <v>0</v>
      </c>
      <c r="H66" s="1"/>
      <c r="I66" s="2"/>
    </row>
    <row r="67" spans="1:9" ht="36" x14ac:dyDescent="0.3">
      <c r="A67" s="103" t="s">
        <v>19</v>
      </c>
      <c r="B67" s="107">
        <v>244</v>
      </c>
      <c r="C67" s="107">
        <v>223</v>
      </c>
      <c r="D67" s="3">
        <f t="shared" si="6"/>
        <v>0</v>
      </c>
      <c r="E67" s="1"/>
      <c r="F67" s="1"/>
      <c r="G67" s="3">
        <f t="shared" si="7"/>
        <v>0</v>
      </c>
      <c r="H67" s="1"/>
      <c r="I67" s="2"/>
    </row>
    <row r="68" spans="1:9" ht="54" x14ac:dyDescent="0.3">
      <c r="A68" s="103" t="s">
        <v>20</v>
      </c>
      <c r="B68" s="107">
        <v>244</v>
      </c>
      <c r="C68" s="107">
        <v>223</v>
      </c>
      <c r="D68" s="3">
        <f t="shared" si="6"/>
        <v>0</v>
      </c>
      <c r="E68" s="1"/>
      <c r="F68" s="1"/>
      <c r="G68" s="3">
        <f t="shared" si="7"/>
        <v>0</v>
      </c>
      <c r="H68" s="1"/>
      <c r="I68" s="2"/>
    </row>
    <row r="69" spans="1:9" ht="72" x14ac:dyDescent="0.3">
      <c r="A69" s="103" t="s">
        <v>21</v>
      </c>
      <c r="B69" s="107">
        <v>244</v>
      </c>
      <c r="C69" s="107">
        <v>223</v>
      </c>
      <c r="D69" s="3">
        <f t="shared" si="6"/>
        <v>0</v>
      </c>
      <c r="E69" s="1"/>
      <c r="F69" s="1"/>
      <c r="G69" s="3">
        <f t="shared" si="7"/>
        <v>0</v>
      </c>
      <c r="H69" s="1"/>
      <c r="I69" s="2"/>
    </row>
    <row r="70" spans="1:9" ht="54" x14ac:dyDescent="0.3">
      <c r="A70" s="103" t="s">
        <v>22</v>
      </c>
      <c r="B70" s="107">
        <v>244</v>
      </c>
      <c r="C70" s="107">
        <v>223</v>
      </c>
      <c r="D70" s="3">
        <f t="shared" si="6"/>
        <v>0</v>
      </c>
      <c r="E70" s="1"/>
      <c r="F70" s="1"/>
      <c r="G70" s="3">
        <f t="shared" si="7"/>
        <v>0</v>
      </c>
      <c r="H70" s="1"/>
      <c r="I70" s="2"/>
    </row>
    <row r="71" spans="1:9" ht="162" x14ac:dyDescent="0.3">
      <c r="A71" s="103" t="s">
        <v>23</v>
      </c>
      <c r="B71" s="107">
        <v>244</v>
      </c>
      <c r="C71" s="107">
        <v>224</v>
      </c>
      <c r="D71" s="3">
        <f t="shared" si="6"/>
        <v>0</v>
      </c>
      <c r="E71" s="1"/>
      <c r="F71" s="1"/>
      <c r="G71" s="3">
        <f t="shared" si="7"/>
        <v>0</v>
      </c>
      <c r="H71" s="1"/>
      <c r="I71" s="2"/>
    </row>
    <row r="72" spans="1:9" ht="54" x14ac:dyDescent="0.3">
      <c r="A72" s="103" t="s">
        <v>24</v>
      </c>
      <c r="B72" s="107" t="s">
        <v>5</v>
      </c>
      <c r="C72" s="107">
        <v>225</v>
      </c>
      <c r="D72" s="1">
        <f t="shared" ref="D72:I72" si="8">D73+D74</f>
        <v>0</v>
      </c>
      <c r="E72" s="1">
        <f t="shared" si="8"/>
        <v>0</v>
      </c>
      <c r="F72" s="1">
        <f t="shared" si="8"/>
        <v>0</v>
      </c>
      <c r="G72" s="1">
        <f t="shared" si="8"/>
        <v>0</v>
      </c>
      <c r="H72" s="1">
        <f t="shared" si="8"/>
        <v>0</v>
      </c>
      <c r="I72" s="2">
        <f t="shared" si="8"/>
        <v>0</v>
      </c>
    </row>
    <row r="73" spans="1:9" ht="18" x14ac:dyDescent="0.3">
      <c r="A73" s="385" t="s">
        <v>6</v>
      </c>
      <c r="B73" s="107">
        <v>243</v>
      </c>
      <c r="C73" s="107">
        <v>225</v>
      </c>
      <c r="D73" s="3">
        <f t="shared" ref="D73:D83" si="9">E73+F73</f>
        <v>0</v>
      </c>
      <c r="E73" s="1"/>
      <c r="F73" s="1"/>
      <c r="G73" s="3">
        <f t="shared" ref="G73:G83" si="10">H73+I73</f>
        <v>0</v>
      </c>
      <c r="H73" s="1"/>
      <c r="I73" s="2"/>
    </row>
    <row r="74" spans="1:9" ht="18" x14ac:dyDescent="0.3">
      <c r="A74" s="385"/>
      <c r="B74" s="107">
        <v>244</v>
      </c>
      <c r="C74" s="107">
        <v>225</v>
      </c>
      <c r="D74" s="3">
        <f t="shared" si="9"/>
        <v>0</v>
      </c>
      <c r="E74" s="1"/>
      <c r="F74" s="1"/>
      <c r="G74" s="3">
        <f t="shared" si="10"/>
        <v>0</v>
      </c>
      <c r="H74" s="1"/>
      <c r="I74" s="2"/>
    </row>
    <row r="75" spans="1:9" ht="36" x14ac:dyDescent="0.3">
      <c r="A75" s="103" t="s">
        <v>58</v>
      </c>
      <c r="B75" s="107" t="s">
        <v>5</v>
      </c>
      <c r="C75" s="107">
        <v>226</v>
      </c>
      <c r="D75" s="3">
        <f t="shared" si="9"/>
        <v>0</v>
      </c>
      <c r="E75" s="1">
        <f>E76+E77</f>
        <v>0</v>
      </c>
      <c r="F75" s="1">
        <f>F76+F77</f>
        <v>0</v>
      </c>
      <c r="G75" s="3">
        <f t="shared" si="10"/>
        <v>0</v>
      </c>
      <c r="H75" s="1">
        <f>H76+H77</f>
        <v>0</v>
      </c>
      <c r="I75" s="2">
        <f>I76+I77</f>
        <v>0</v>
      </c>
    </row>
    <row r="76" spans="1:9" ht="18" x14ac:dyDescent="0.3">
      <c r="A76" s="385" t="s">
        <v>6</v>
      </c>
      <c r="B76" s="107">
        <v>243</v>
      </c>
      <c r="C76" s="107">
        <v>226</v>
      </c>
      <c r="D76" s="3">
        <f t="shared" si="9"/>
        <v>0</v>
      </c>
      <c r="E76" s="1"/>
      <c r="F76" s="1"/>
      <c r="G76" s="3">
        <f t="shared" si="10"/>
        <v>0</v>
      </c>
      <c r="H76" s="1"/>
      <c r="I76" s="2"/>
    </row>
    <row r="77" spans="1:9" ht="18" x14ac:dyDescent="0.3">
      <c r="A77" s="385"/>
      <c r="B77" s="107">
        <v>244</v>
      </c>
      <c r="C77" s="107">
        <v>226</v>
      </c>
      <c r="D77" s="3">
        <f t="shared" si="9"/>
        <v>0</v>
      </c>
      <c r="E77" s="1"/>
      <c r="F77" s="1"/>
      <c r="G77" s="3">
        <f t="shared" si="10"/>
        <v>0</v>
      </c>
      <c r="H77" s="1"/>
      <c r="I77" s="2"/>
    </row>
    <row r="78" spans="1:9" ht="18" x14ac:dyDescent="0.3">
      <c r="A78" s="103" t="s">
        <v>25</v>
      </c>
      <c r="B78" s="107">
        <v>244</v>
      </c>
      <c r="C78" s="107">
        <v>227</v>
      </c>
      <c r="D78" s="3">
        <f t="shared" si="9"/>
        <v>0</v>
      </c>
      <c r="E78" s="1"/>
      <c r="F78" s="1"/>
      <c r="G78" s="3">
        <f t="shared" si="10"/>
        <v>0</v>
      </c>
      <c r="H78" s="1"/>
      <c r="I78" s="2"/>
    </row>
    <row r="79" spans="1:9" ht="18" x14ac:dyDescent="0.3">
      <c r="A79" s="103" t="s">
        <v>30</v>
      </c>
      <c r="B79" s="107" t="s">
        <v>5</v>
      </c>
      <c r="C79" s="107">
        <v>290</v>
      </c>
      <c r="D79" s="3">
        <f t="shared" si="9"/>
        <v>0</v>
      </c>
      <c r="E79" s="1">
        <f>E81+E82</f>
        <v>0</v>
      </c>
      <c r="F79" s="1">
        <f>F81+F82</f>
        <v>0</v>
      </c>
      <c r="G79" s="3">
        <f t="shared" si="10"/>
        <v>0</v>
      </c>
      <c r="H79" s="1">
        <f>H81+H82</f>
        <v>0</v>
      </c>
      <c r="I79" s="2">
        <f>I81+I82</f>
        <v>0</v>
      </c>
    </row>
    <row r="80" spans="1:9" ht="18" x14ac:dyDescent="0.3">
      <c r="A80" s="103" t="s">
        <v>9</v>
      </c>
      <c r="B80" s="107"/>
      <c r="C80" s="107"/>
      <c r="D80" s="3">
        <f t="shared" si="9"/>
        <v>0</v>
      </c>
      <c r="E80" s="1"/>
      <c r="F80" s="1"/>
      <c r="G80" s="3">
        <f t="shared" si="10"/>
        <v>0</v>
      </c>
      <c r="H80" s="1"/>
      <c r="I80" s="2"/>
    </row>
    <row r="81" spans="1:9" ht="54" x14ac:dyDescent="0.3">
      <c r="A81" s="103" t="s">
        <v>34</v>
      </c>
      <c r="B81" s="107">
        <v>244</v>
      </c>
      <c r="C81" s="107">
        <v>296</v>
      </c>
      <c r="D81" s="3">
        <f t="shared" si="9"/>
        <v>0</v>
      </c>
      <c r="E81" s="1"/>
      <c r="F81" s="1"/>
      <c r="G81" s="3">
        <f t="shared" si="10"/>
        <v>0</v>
      </c>
      <c r="H81" s="1"/>
      <c r="I81" s="2"/>
    </row>
    <row r="82" spans="1:9" ht="54" x14ac:dyDescent="0.3">
      <c r="A82" s="103" t="s">
        <v>35</v>
      </c>
      <c r="B82" s="107">
        <v>244</v>
      </c>
      <c r="C82" s="107">
        <v>297</v>
      </c>
      <c r="D82" s="3">
        <f t="shared" si="9"/>
        <v>0</v>
      </c>
      <c r="E82" s="1"/>
      <c r="F82" s="1"/>
      <c r="G82" s="3">
        <f t="shared" si="10"/>
        <v>0</v>
      </c>
      <c r="H82" s="1"/>
      <c r="I82" s="2"/>
    </row>
    <row r="83" spans="1:9" ht="54" x14ac:dyDescent="0.3">
      <c r="A83" s="103" t="s">
        <v>59</v>
      </c>
      <c r="B83" s="107" t="s">
        <v>5</v>
      </c>
      <c r="C83" s="107">
        <v>300</v>
      </c>
      <c r="D83" s="3">
        <f t="shared" si="9"/>
        <v>0</v>
      </c>
      <c r="E83" s="1">
        <f>E85+E87+E86</f>
        <v>0</v>
      </c>
      <c r="F83" s="1">
        <f>F85+F87+F86</f>
        <v>0</v>
      </c>
      <c r="G83" s="3">
        <f t="shared" si="10"/>
        <v>0</v>
      </c>
      <c r="H83" s="1">
        <f>H85+H87+H86</f>
        <v>0</v>
      </c>
      <c r="I83" s="2">
        <f>I85+I87+I86</f>
        <v>0</v>
      </c>
    </row>
    <row r="84" spans="1:9" ht="18" x14ac:dyDescent="0.3">
      <c r="A84" s="103" t="s">
        <v>9</v>
      </c>
      <c r="B84" s="107"/>
      <c r="C84" s="107"/>
      <c r="D84" s="3"/>
      <c r="E84" s="1"/>
      <c r="F84" s="1"/>
      <c r="G84" s="3"/>
      <c r="H84" s="1"/>
      <c r="I84" s="2"/>
    </row>
    <row r="85" spans="1:9" ht="54" x14ac:dyDescent="0.3">
      <c r="A85" s="103" t="s">
        <v>36</v>
      </c>
      <c r="B85" s="107">
        <v>244</v>
      </c>
      <c r="C85" s="107">
        <v>310</v>
      </c>
      <c r="D85" s="3">
        <f>E85+F85</f>
        <v>0</v>
      </c>
      <c r="E85" s="1"/>
      <c r="F85" s="1"/>
      <c r="G85" s="3">
        <f>H85+I85</f>
        <v>0</v>
      </c>
      <c r="H85" s="1"/>
      <c r="I85" s="2"/>
    </row>
    <row r="86" spans="1:9" ht="72" x14ac:dyDescent="0.3">
      <c r="A86" s="103" t="s">
        <v>68</v>
      </c>
      <c r="B86" s="107">
        <v>244</v>
      </c>
      <c r="C86" s="107">
        <v>320</v>
      </c>
      <c r="D86" s="3">
        <f>E86+F86</f>
        <v>0</v>
      </c>
      <c r="E86" s="1"/>
      <c r="F86" s="1"/>
      <c r="G86" s="3">
        <f>H86+I86</f>
        <v>0</v>
      </c>
      <c r="H86" s="1"/>
      <c r="I86" s="2"/>
    </row>
    <row r="87" spans="1:9" ht="72" x14ac:dyDescent="0.3">
      <c r="A87" s="103" t="s">
        <v>60</v>
      </c>
      <c r="B87" s="107" t="s">
        <v>5</v>
      </c>
      <c r="C87" s="107">
        <v>340</v>
      </c>
      <c r="D87" s="3">
        <f>E87+F87</f>
        <v>0</v>
      </c>
      <c r="E87" s="1">
        <f>E89+E90+E91+E92+E93+E94+E95</f>
        <v>0</v>
      </c>
      <c r="F87" s="1">
        <f>F89+F90+F91+F92+F93+F94+F95</f>
        <v>0</v>
      </c>
      <c r="G87" s="3">
        <f>H87+I87</f>
        <v>0</v>
      </c>
      <c r="H87" s="1">
        <f>H89+H90+H91+H92+H93+H94+H95</f>
        <v>0</v>
      </c>
      <c r="I87" s="2">
        <f>I89+I90+I91+I92+I93+I94+I95</f>
        <v>0</v>
      </c>
    </row>
    <row r="88" spans="1:9" ht="18" x14ac:dyDescent="0.3">
      <c r="A88" s="103" t="s">
        <v>6</v>
      </c>
      <c r="B88" s="107"/>
      <c r="C88" s="107"/>
      <c r="D88" s="3"/>
      <c r="E88" s="1"/>
      <c r="F88" s="1"/>
      <c r="G88" s="3"/>
      <c r="H88" s="1"/>
      <c r="I88" s="2"/>
    </row>
    <row r="89" spans="1:9" ht="126" x14ac:dyDescent="0.3">
      <c r="A89" s="103" t="s">
        <v>37</v>
      </c>
      <c r="B89" s="107">
        <v>244</v>
      </c>
      <c r="C89" s="107">
        <v>341</v>
      </c>
      <c r="D89" s="3">
        <f t="shared" ref="D89:D95" si="11">E89+F89</f>
        <v>0</v>
      </c>
      <c r="E89" s="1"/>
      <c r="F89" s="1"/>
      <c r="G89" s="3">
        <f t="shared" ref="G89:G95" si="12">H89+I89</f>
        <v>0</v>
      </c>
      <c r="H89" s="1"/>
      <c r="I89" s="2"/>
    </row>
    <row r="90" spans="1:9" ht="54" x14ac:dyDescent="0.3">
      <c r="A90" s="103" t="s">
        <v>38</v>
      </c>
      <c r="B90" s="107">
        <v>244</v>
      </c>
      <c r="C90" s="107">
        <v>342</v>
      </c>
      <c r="D90" s="3">
        <f t="shared" si="11"/>
        <v>0</v>
      </c>
      <c r="E90" s="1"/>
      <c r="F90" s="1"/>
      <c r="G90" s="3">
        <f t="shared" si="12"/>
        <v>0</v>
      </c>
      <c r="H90" s="1"/>
      <c r="I90" s="2"/>
    </row>
    <row r="91" spans="1:9" ht="72" x14ac:dyDescent="0.3">
      <c r="A91" s="103" t="s">
        <v>39</v>
      </c>
      <c r="B91" s="107">
        <v>244</v>
      </c>
      <c r="C91" s="107">
        <v>343</v>
      </c>
      <c r="D91" s="3">
        <f t="shared" si="11"/>
        <v>0</v>
      </c>
      <c r="E91" s="1"/>
      <c r="F91" s="1"/>
      <c r="G91" s="3">
        <f t="shared" si="12"/>
        <v>0</v>
      </c>
      <c r="H91" s="1"/>
      <c r="I91" s="2"/>
    </row>
    <row r="92" spans="1:9" ht="72" x14ac:dyDescent="0.3">
      <c r="A92" s="103" t="s">
        <v>40</v>
      </c>
      <c r="B92" s="107">
        <v>244</v>
      </c>
      <c r="C92" s="107">
        <v>344</v>
      </c>
      <c r="D92" s="3">
        <f t="shared" si="11"/>
        <v>0</v>
      </c>
      <c r="E92" s="1"/>
      <c r="F92" s="1"/>
      <c r="G92" s="3">
        <f t="shared" si="12"/>
        <v>0</v>
      </c>
      <c r="H92" s="1"/>
      <c r="I92" s="2"/>
    </row>
    <row r="93" spans="1:9" ht="54" x14ac:dyDescent="0.3">
      <c r="A93" s="103" t="s">
        <v>41</v>
      </c>
      <c r="B93" s="107">
        <v>244</v>
      </c>
      <c r="C93" s="107">
        <v>345</v>
      </c>
      <c r="D93" s="3">
        <f t="shared" si="11"/>
        <v>0</v>
      </c>
      <c r="E93" s="1"/>
      <c r="F93" s="1"/>
      <c r="G93" s="3">
        <f t="shared" si="12"/>
        <v>0</v>
      </c>
      <c r="H93" s="1"/>
      <c r="I93" s="2"/>
    </row>
    <row r="94" spans="1:9" ht="72" x14ac:dyDescent="0.3">
      <c r="A94" s="103" t="s">
        <v>42</v>
      </c>
      <c r="B94" s="107">
        <v>244</v>
      </c>
      <c r="C94" s="107">
        <v>346</v>
      </c>
      <c r="D94" s="3">
        <f t="shared" si="11"/>
        <v>0</v>
      </c>
      <c r="E94" s="1"/>
      <c r="F94" s="1"/>
      <c r="G94" s="3">
        <f t="shared" si="12"/>
        <v>0</v>
      </c>
      <c r="H94" s="1"/>
      <c r="I94" s="2"/>
    </row>
    <row r="95" spans="1:9" ht="108.6" thickBot="1" x14ac:dyDescent="0.35">
      <c r="A95" s="30" t="s">
        <v>43</v>
      </c>
      <c r="B95" s="31">
        <v>244</v>
      </c>
      <c r="C95" s="31">
        <v>349</v>
      </c>
      <c r="D95" s="32">
        <f t="shared" si="11"/>
        <v>0</v>
      </c>
      <c r="E95" s="33"/>
      <c r="F95" s="33"/>
      <c r="G95" s="32">
        <f t="shared" si="12"/>
        <v>0</v>
      </c>
      <c r="H95" s="33"/>
      <c r="I95" s="91"/>
    </row>
    <row r="96" spans="1:9" ht="36" x14ac:dyDescent="0.35">
      <c r="A96" s="27" t="s">
        <v>52</v>
      </c>
      <c r="B96" s="400"/>
      <c r="C96" s="400"/>
      <c r="D96" s="8"/>
      <c r="E96" s="400"/>
      <c r="F96" s="400"/>
    </row>
    <row r="97" spans="1:6" ht="18" x14ac:dyDescent="0.35">
      <c r="A97" s="27"/>
      <c r="B97" s="401" t="s">
        <v>53</v>
      </c>
      <c r="C97" s="401"/>
      <c r="D97" s="8"/>
      <c r="E97" s="401" t="s">
        <v>54</v>
      </c>
      <c r="F97" s="401"/>
    </row>
    <row r="98" spans="1:6" ht="18" x14ac:dyDescent="0.35">
      <c r="A98" s="27"/>
      <c r="B98" s="8"/>
      <c r="C98" s="8"/>
      <c r="D98" s="8"/>
      <c r="E98" s="8"/>
      <c r="F98" s="8"/>
    </row>
    <row r="99" spans="1:6" ht="36" x14ac:dyDescent="0.35">
      <c r="A99" s="27" t="s">
        <v>55</v>
      </c>
      <c r="B99" s="400"/>
      <c r="C99" s="400"/>
      <c r="D99" s="8"/>
      <c r="E99" s="400"/>
      <c r="F99" s="400"/>
    </row>
    <row r="100" spans="1:6" ht="18" x14ac:dyDescent="0.35">
      <c r="A100" s="27"/>
      <c r="B100" s="401" t="s">
        <v>53</v>
      </c>
      <c r="C100" s="401"/>
      <c r="D100" s="8"/>
      <c r="E100" s="401" t="s">
        <v>54</v>
      </c>
      <c r="F100" s="401"/>
    </row>
    <row r="101" spans="1:6" ht="18" x14ac:dyDescent="0.35">
      <c r="A101" s="27"/>
      <c r="B101" s="104"/>
      <c r="C101" s="104"/>
      <c r="D101" s="8"/>
      <c r="E101" s="104"/>
      <c r="F101" s="104"/>
    </row>
    <row r="102" spans="1:6" ht="18" x14ac:dyDescent="0.35">
      <c r="A102" s="27" t="s">
        <v>56</v>
      </c>
      <c r="B102" s="400"/>
      <c r="C102" s="400"/>
      <c r="D102" s="8"/>
      <c r="E102" s="400"/>
      <c r="F102" s="400"/>
    </row>
    <row r="103" spans="1:6" ht="18" x14ac:dyDescent="0.35">
      <c r="A103" s="27"/>
      <c r="B103" s="401" t="s">
        <v>53</v>
      </c>
      <c r="C103" s="401"/>
      <c r="D103" s="8"/>
      <c r="E103" s="401" t="s">
        <v>54</v>
      </c>
      <c r="F103" s="401"/>
    </row>
    <row r="104" spans="1:6" ht="18" x14ac:dyDescent="0.35">
      <c r="A104" s="27" t="s">
        <v>57</v>
      </c>
      <c r="B104" s="8"/>
      <c r="C104" s="8"/>
      <c r="D104" s="8"/>
      <c r="E104" s="8"/>
      <c r="F104" s="8"/>
    </row>
    <row r="105" spans="1:6" ht="18" x14ac:dyDescent="0.35">
      <c r="A105" s="396" t="s">
        <v>44</v>
      </c>
      <c r="B105" s="396"/>
      <c r="C105" s="8"/>
      <c r="D105" s="8"/>
      <c r="E105" s="8"/>
      <c r="F105" s="8"/>
    </row>
  </sheetData>
  <mergeCells count="30">
    <mergeCell ref="A1:I1"/>
    <mergeCell ref="A2:I2"/>
    <mergeCell ref="A5:A7"/>
    <mergeCell ref="B5:B7"/>
    <mergeCell ref="C5:C7"/>
    <mergeCell ref="D5:D7"/>
    <mergeCell ref="E5:F5"/>
    <mergeCell ref="G5:G7"/>
    <mergeCell ref="H5:I5"/>
    <mergeCell ref="B97:C97"/>
    <mergeCell ref="E97:F97"/>
    <mergeCell ref="H6:I6"/>
    <mergeCell ref="E6:F6"/>
    <mergeCell ref="A12:I12"/>
    <mergeCell ref="A31:A32"/>
    <mergeCell ref="A34:A35"/>
    <mergeCell ref="A54:I54"/>
    <mergeCell ref="A73:A74"/>
    <mergeCell ref="A76:A77"/>
    <mergeCell ref="B96:C96"/>
    <mergeCell ref="E96:F96"/>
    <mergeCell ref="B103:C103"/>
    <mergeCell ref="E103:F103"/>
    <mergeCell ref="A105:B105"/>
    <mergeCell ref="B99:C99"/>
    <mergeCell ref="E99:F99"/>
    <mergeCell ref="B100:C100"/>
    <mergeCell ref="E100:F100"/>
    <mergeCell ref="B102:C102"/>
    <mergeCell ref="E102:F102"/>
  </mergeCells>
  <pageMargins left="1.3779527559055118" right="0.39370078740157483" top="0.98425196850393704" bottom="0.78740157480314965" header="0.31496062992125984" footer="0.31496062992125984"/>
  <pageSetup paperSize="9" scale="75" firstPageNumber="12" orientation="landscape" useFirstPageNumber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05"/>
  <sheetViews>
    <sheetView zoomScaleNormal="100" workbookViewId="0">
      <selection activeCell="A14" sqref="A14:G14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7" width="16.44140625" style="5" customWidth="1"/>
    <col min="8" max="9" width="8.88671875" style="5" customWidth="1"/>
    <col min="10" max="16384" width="8.88671875" style="5"/>
  </cols>
  <sheetData>
    <row r="1" spans="1:7" ht="18" x14ac:dyDescent="0.3">
      <c r="A1" s="4"/>
      <c r="E1" s="395"/>
      <c r="F1" s="395"/>
      <c r="G1" s="395"/>
    </row>
    <row r="2" spans="1:7" ht="40.200000000000003" customHeight="1" x14ac:dyDescent="0.3">
      <c r="A2" s="432" t="s">
        <v>253</v>
      </c>
      <c r="B2" s="432"/>
      <c r="C2" s="432"/>
      <c r="D2" s="432"/>
      <c r="E2" s="432"/>
      <c r="F2" s="432"/>
      <c r="G2" s="432"/>
    </row>
    <row r="3" spans="1:7" ht="17.399999999999999" x14ac:dyDescent="0.3">
      <c r="A3" s="53"/>
      <c r="B3" s="53"/>
      <c r="C3" s="53"/>
      <c r="D3" s="53"/>
      <c r="E3" s="53"/>
      <c r="F3" s="53"/>
      <c r="G3" s="53"/>
    </row>
    <row r="4" spans="1:7" ht="35.4" customHeight="1" x14ac:dyDescent="0.3">
      <c r="A4" s="432" t="s">
        <v>180</v>
      </c>
      <c r="B4" s="432"/>
      <c r="C4" s="432"/>
      <c r="D4" s="432"/>
      <c r="E4" s="432"/>
      <c r="F4" s="432"/>
      <c r="G4" s="432"/>
    </row>
    <row r="5" spans="1:7" ht="35.4" customHeight="1" x14ac:dyDescent="0.3">
      <c r="A5" s="432" t="s">
        <v>167</v>
      </c>
      <c r="B5" s="432"/>
      <c r="C5" s="432"/>
      <c r="D5" s="432"/>
      <c r="E5" s="432"/>
      <c r="F5" s="432"/>
      <c r="G5" s="432"/>
    </row>
    <row r="6" spans="1:7" ht="17.399999999999999" x14ac:dyDescent="0.3">
      <c r="A6" s="49"/>
    </row>
    <row r="7" spans="1:7" ht="18" x14ac:dyDescent="0.35">
      <c r="A7" s="7" t="s">
        <v>252</v>
      </c>
      <c r="B7" s="8">
        <v>120</v>
      </c>
    </row>
    <row r="8" spans="1:7" ht="15" x14ac:dyDescent="0.3">
      <c r="A8" s="9"/>
    </row>
    <row r="9" spans="1:7" ht="79.95" customHeight="1" x14ac:dyDescent="0.3">
      <c r="A9" s="52" t="s">
        <v>85</v>
      </c>
      <c r="B9" s="416" t="s">
        <v>165</v>
      </c>
      <c r="C9" s="416"/>
      <c r="D9" s="416" t="s">
        <v>166</v>
      </c>
      <c r="E9" s="416"/>
      <c r="F9" s="416" t="s">
        <v>93</v>
      </c>
      <c r="G9" s="416"/>
    </row>
    <row r="10" spans="1:7" ht="18" x14ac:dyDescent="0.3">
      <c r="A10" s="52">
        <v>1</v>
      </c>
      <c r="B10" s="416">
        <v>2</v>
      </c>
      <c r="C10" s="416"/>
      <c r="D10" s="416">
        <v>3</v>
      </c>
      <c r="E10" s="416"/>
      <c r="F10" s="416">
        <v>4</v>
      </c>
      <c r="G10" s="416"/>
    </row>
    <row r="11" spans="1:7" ht="36" x14ac:dyDescent="0.3">
      <c r="A11" s="11" t="s">
        <v>168</v>
      </c>
      <c r="B11" s="416"/>
      <c r="C11" s="416"/>
      <c r="D11" s="416"/>
      <c r="E11" s="416"/>
      <c r="F11" s="417">
        <f>B11*D11</f>
        <v>0</v>
      </c>
      <c r="G11" s="417"/>
    </row>
    <row r="12" spans="1:7" ht="18" x14ac:dyDescent="0.3">
      <c r="A12" s="11" t="s">
        <v>119</v>
      </c>
      <c r="B12" s="416"/>
      <c r="C12" s="416"/>
      <c r="D12" s="416"/>
      <c r="E12" s="416"/>
      <c r="F12" s="416"/>
      <c r="G12" s="416"/>
    </row>
    <row r="13" spans="1:7" ht="17.399999999999999" x14ac:dyDescent="0.3">
      <c r="A13" s="49"/>
    </row>
    <row r="14" spans="1:7" ht="43.95" customHeight="1" x14ac:dyDescent="0.3">
      <c r="A14" s="432" t="s">
        <v>173</v>
      </c>
      <c r="B14" s="432"/>
      <c r="C14" s="432"/>
      <c r="D14" s="432"/>
      <c r="E14" s="432"/>
      <c r="F14" s="432"/>
      <c r="G14" s="432"/>
    </row>
    <row r="15" spans="1:7" ht="17.399999999999999" x14ac:dyDescent="0.3">
      <c r="A15" s="53"/>
      <c r="B15" s="53"/>
      <c r="C15" s="53"/>
      <c r="D15" s="53"/>
      <c r="E15" s="53"/>
      <c r="F15" s="53"/>
      <c r="G15" s="53"/>
    </row>
    <row r="16" spans="1:7" ht="18" x14ac:dyDescent="0.35">
      <c r="A16" s="7" t="s">
        <v>252</v>
      </c>
      <c r="B16" s="8">
        <v>130</v>
      </c>
    </row>
    <row r="17" spans="1:7" ht="15" x14ac:dyDescent="0.3">
      <c r="A17" s="9"/>
    </row>
    <row r="18" spans="1:7" ht="55.95" customHeight="1" x14ac:dyDescent="0.3">
      <c r="A18" s="52" t="s">
        <v>85</v>
      </c>
      <c r="B18" s="416" t="s">
        <v>171</v>
      </c>
      <c r="C18" s="416"/>
      <c r="D18" s="416" t="s">
        <v>172</v>
      </c>
      <c r="E18" s="416"/>
      <c r="F18" s="416" t="s">
        <v>263</v>
      </c>
      <c r="G18" s="416"/>
    </row>
    <row r="19" spans="1:7" ht="18" x14ac:dyDescent="0.3">
      <c r="A19" s="52">
        <v>1</v>
      </c>
      <c r="B19" s="416">
        <v>2</v>
      </c>
      <c r="C19" s="416"/>
      <c r="D19" s="416">
        <v>3</v>
      </c>
      <c r="E19" s="416"/>
      <c r="F19" s="416">
        <v>4</v>
      </c>
      <c r="G19" s="416"/>
    </row>
    <row r="20" spans="1:7" ht="108" x14ac:dyDescent="0.3">
      <c r="A20" s="11" t="s">
        <v>169</v>
      </c>
      <c r="B20" s="416" t="s">
        <v>116</v>
      </c>
      <c r="C20" s="416"/>
      <c r="D20" s="416" t="s">
        <v>116</v>
      </c>
      <c r="E20" s="416"/>
      <c r="F20" s="417">
        <v>0</v>
      </c>
      <c r="G20" s="417"/>
    </row>
    <row r="21" spans="1:7" ht="17.399999999999999" x14ac:dyDescent="0.3">
      <c r="A21" s="49"/>
    </row>
    <row r="22" spans="1:7" ht="18" x14ac:dyDescent="0.35">
      <c r="A22" s="7" t="s">
        <v>252</v>
      </c>
      <c r="B22" s="8">
        <v>130</v>
      </c>
    </row>
    <row r="23" spans="1:7" ht="15" x14ac:dyDescent="0.3">
      <c r="A23" s="9"/>
    </row>
    <row r="24" spans="1:7" ht="41.4" customHeight="1" x14ac:dyDescent="0.3">
      <c r="A24" s="52" t="s">
        <v>85</v>
      </c>
      <c r="B24" s="416" t="s">
        <v>171</v>
      </c>
      <c r="C24" s="416"/>
      <c r="D24" s="416" t="s">
        <v>172</v>
      </c>
      <c r="E24" s="416"/>
      <c r="F24" s="416" t="s">
        <v>93</v>
      </c>
      <c r="G24" s="416"/>
    </row>
    <row r="25" spans="1:7" ht="18" x14ac:dyDescent="0.3">
      <c r="A25" s="52">
        <v>1</v>
      </c>
      <c r="B25" s="416">
        <v>2</v>
      </c>
      <c r="C25" s="416"/>
      <c r="D25" s="416">
        <v>3</v>
      </c>
      <c r="E25" s="416"/>
      <c r="F25" s="416">
        <v>4</v>
      </c>
      <c r="G25" s="416"/>
    </row>
    <row r="26" spans="1:7" ht="72" x14ac:dyDescent="0.3">
      <c r="A26" s="11" t="s">
        <v>163</v>
      </c>
      <c r="B26" s="416"/>
      <c r="C26" s="416"/>
      <c r="D26" s="416"/>
      <c r="E26" s="416"/>
      <c r="F26" s="417">
        <f>B26*D26</f>
        <v>0</v>
      </c>
      <c r="G26" s="417"/>
    </row>
    <row r="27" spans="1:7" ht="17.399999999999999" x14ac:dyDescent="0.3">
      <c r="A27" s="49"/>
    </row>
    <row r="28" spans="1:7" ht="18" x14ac:dyDescent="0.35">
      <c r="A28" s="7" t="s">
        <v>252</v>
      </c>
      <c r="B28" s="8">
        <v>150</v>
      </c>
    </row>
    <row r="29" spans="1:7" ht="15" x14ac:dyDescent="0.3">
      <c r="A29" s="9"/>
    </row>
    <row r="30" spans="1:7" ht="42.6" customHeight="1" x14ac:dyDescent="0.3">
      <c r="A30" s="52" t="s">
        <v>85</v>
      </c>
      <c r="B30" s="416" t="s">
        <v>171</v>
      </c>
      <c r="C30" s="416"/>
      <c r="D30" s="416" t="s">
        <v>172</v>
      </c>
      <c r="E30" s="416"/>
      <c r="F30" s="416" t="s">
        <v>182</v>
      </c>
      <c r="G30" s="416"/>
    </row>
    <row r="31" spans="1:7" ht="18" x14ac:dyDescent="0.3">
      <c r="A31" s="52">
        <v>1</v>
      </c>
      <c r="B31" s="416">
        <v>2</v>
      </c>
      <c r="C31" s="416"/>
      <c r="D31" s="416">
        <v>3</v>
      </c>
      <c r="E31" s="416"/>
      <c r="F31" s="416">
        <v>4</v>
      </c>
      <c r="G31" s="416"/>
    </row>
    <row r="32" spans="1:7" ht="90" x14ac:dyDescent="0.3">
      <c r="A32" s="11" t="s">
        <v>264</v>
      </c>
      <c r="B32" s="416" t="s">
        <v>116</v>
      </c>
      <c r="C32" s="416"/>
      <c r="D32" s="416" t="s">
        <v>116</v>
      </c>
      <c r="E32" s="416"/>
      <c r="F32" s="417">
        <v>0</v>
      </c>
      <c r="G32" s="417"/>
    </row>
    <row r="33" spans="1:7" ht="17.399999999999999" x14ac:dyDescent="0.3">
      <c r="A33" s="49"/>
    </row>
    <row r="34" spans="1:7" ht="17.399999999999999" x14ac:dyDescent="0.3">
      <c r="A34" s="432" t="s">
        <v>175</v>
      </c>
      <c r="B34" s="432"/>
      <c r="C34" s="432"/>
      <c r="D34" s="432"/>
      <c r="E34" s="432"/>
      <c r="F34" s="432"/>
      <c r="G34" s="432"/>
    </row>
    <row r="35" spans="1:7" ht="17.399999999999999" x14ac:dyDescent="0.3">
      <c r="A35" s="49"/>
    </row>
    <row r="36" spans="1:7" ht="18" x14ac:dyDescent="0.35">
      <c r="A36" s="7" t="s">
        <v>252</v>
      </c>
      <c r="B36" s="8">
        <v>140</v>
      </c>
    </row>
    <row r="37" spans="1:7" ht="15" x14ac:dyDescent="0.3">
      <c r="A37" s="9"/>
    </row>
    <row r="38" spans="1:7" ht="37.950000000000003" customHeight="1" x14ac:dyDescent="0.3">
      <c r="A38" s="408" t="s">
        <v>85</v>
      </c>
      <c r="B38" s="409"/>
      <c r="C38" s="410"/>
      <c r="D38" s="408" t="s">
        <v>164</v>
      </c>
      <c r="E38" s="409"/>
      <c r="F38" s="409"/>
      <c r="G38" s="410"/>
    </row>
    <row r="39" spans="1:7" ht="18" x14ac:dyDescent="0.3">
      <c r="A39" s="408">
        <v>1</v>
      </c>
      <c r="B39" s="409"/>
      <c r="C39" s="410"/>
      <c r="D39" s="408">
        <v>3</v>
      </c>
      <c r="E39" s="409"/>
      <c r="F39" s="409"/>
      <c r="G39" s="410"/>
    </row>
    <row r="40" spans="1:7" ht="18" x14ac:dyDescent="0.3">
      <c r="A40" s="412" t="s">
        <v>174</v>
      </c>
      <c r="B40" s="413"/>
      <c r="C40" s="414"/>
      <c r="D40" s="452">
        <v>0</v>
      </c>
      <c r="E40" s="612"/>
      <c r="F40" s="612"/>
      <c r="G40" s="453"/>
    </row>
    <row r="41" spans="1:7" ht="17.399999999999999" x14ac:dyDescent="0.3">
      <c r="A41" s="49"/>
    </row>
    <row r="42" spans="1:7" ht="17.399999999999999" x14ac:dyDescent="0.3">
      <c r="A42" s="432" t="s">
        <v>176</v>
      </c>
      <c r="B42" s="432"/>
      <c r="C42" s="432"/>
      <c r="D42" s="432"/>
      <c r="E42" s="432"/>
      <c r="F42" s="432"/>
      <c r="G42" s="432"/>
    </row>
    <row r="43" spans="1:7" ht="17.399999999999999" x14ac:dyDescent="0.3">
      <c r="A43" s="53"/>
      <c r="B43" s="53"/>
      <c r="C43" s="53"/>
      <c r="D43" s="53"/>
      <c r="E43" s="53"/>
      <c r="F43" s="53"/>
      <c r="G43" s="53"/>
    </row>
    <row r="44" spans="1:7" ht="18" x14ac:dyDescent="0.35">
      <c r="A44" s="7" t="s">
        <v>252</v>
      </c>
      <c r="B44" s="8">
        <v>180</v>
      </c>
    </row>
    <row r="45" spans="1:7" ht="15" x14ac:dyDescent="0.3">
      <c r="A45" s="9"/>
    </row>
    <row r="46" spans="1:7" ht="57" customHeight="1" x14ac:dyDescent="0.3">
      <c r="A46" s="52" t="s">
        <v>85</v>
      </c>
      <c r="B46" s="416" t="s">
        <v>171</v>
      </c>
      <c r="C46" s="416"/>
      <c r="D46" s="416" t="s">
        <v>172</v>
      </c>
      <c r="E46" s="416"/>
      <c r="F46" s="416" t="s">
        <v>182</v>
      </c>
      <c r="G46" s="416"/>
    </row>
    <row r="47" spans="1:7" ht="18" x14ac:dyDescent="0.3">
      <c r="A47" s="52">
        <v>1</v>
      </c>
      <c r="B47" s="416">
        <v>2</v>
      </c>
      <c r="C47" s="416"/>
      <c r="D47" s="416">
        <v>3</v>
      </c>
      <c r="E47" s="416"/>
      <c r="F47" s="416">
        <v>4</v>
      </c>
      <c r="G47" s="416"/>
    </row>
    <row r="48" spans="1:7" ht="36" x14ac:dyDescent="0.3">
      <c r="A48" s="11" t="s">
        <v>265</v>
      </c>
      <c r="B48" s="416" t="s">
        <v>116</v>
      </c>
      <c r="C48" s="416"/>
      <c r="D48" s="416" t="s">
        <v>116</v>
      </c>
      <c r="E48" s="416"/>
      <c r="F48" s="417">
        <v>0</v>
      </c>
      <c r="G48" s="417"/>
    </row>
    <row r="49" spans="1:7" ht="17.399999999999999" x14ac:dyDescent="0.3">
      <c r="A49" s="49"/>
    </row>
    <row r="50" spans="1:7" ht="17.399999999999999" x14ac:dyDescent="0.3">
      <c r="A50" s="432" t="s">
        <v>186</v>
      </c>
      <c r="B50" s="432"/>
      <c r="C50" s="432"/>
      <c r="D50" s="432"/>
      <c r="E50" s="432"/>
      <c r="F50" s="432"/>
      <c r="G50" s="432"/>
    </row>
    <row r="51" spans="1:7" ht="17.399999999999999" x14ac:dyDescent="0.3">
      <c r="A51" s="49"/>
    </row>
    <row r="52" spans="1:7" ht="18" x14ac:dyDescent="0.35">
      <c r="A52" s="7" t="s">
        <v>252</v>
      </c>
      <c r="B52" s="8">
        <v>180</v>
      </c>
    </row>
    <row r="53" spans="1:7" ht="15" x14ac:dyDescent="0.3">
      <c r="A53" s="9"/>
    </row>
    <row r="54" spans="1:7" ht="58.95" customHeight="1" x14ac:dyDescent="0.3">
      <c r="A54" s="52" t="s">
        <v>85</v>
      </c>
      <c r="B54" s="416" t="s">
        <v>171</v>
      </c>
      <c r="C54" s="416"/>
      <c r="D54" s="416" t="s">
        <v>172</v>
      </c>
      <c r="E54" s="416"/>
      <c r="F54" s="408" t="s">
        <v>170</v>
      </c>
      <c r="G54" s="410"/>
    </row>
    <row r="55" spans="1:7" ht="18" x14ac:dyDescent="0.3">
      <c r="A55" s="52">
        <v>1</v>
      </c>
      <c r="B55" s="416">
        <v>2</v>
      </c>
      <c r="C55" s="416"/>
      <c r="D55" s="416">
        <v>3</v>
      </c>
      <c r="E55" s="416"/>
      <c r="F55" s="416">
        <v>4</v>
      </c>
      <c r="G55" s="416"/>
    </row>
    <row r="56" spans="1:7" ht="58.95" customHeight="1" x14ac:dyDescent="0.3">
      <c r="A56" s="11" t="s">
        <v>183</v>
      </c>
      <c r="B56" s="416" t="s">
        <v>116</v>
      </c>
      <c r="C56" s="416"/>
      <c r="D56" s="416" t="s">
        <v>116</v>
      </c>
      <c r="E56" s="416"/>
      <c r="F56" s="417">
        <v>0</v>
      </c>
      <c r="G56" s="417"/>
    </row>
    <row r="57" spans="1:7" ht="17.399999999999999" x14ac:dyDescent="0.3">
      <c r="A57" s="49"/>
    </row>
    <row r="58" spans="1:7" ht="17.399999999999999" x14ac:dyDescent="0.3">
      <c r="A58" s="432" t="s">
        <v>177</v>
      </c>
      <c r="B58" s="432"/>
      <c r="C58" s="432"/>
      <c r="D58" s="432"/>
      <c r="E58" s="432"/>
      <c r="F58" s="432"/>
      <c r="G58" s="432"/>
    </row>
    <row r="59" spans="1:7" ht="17.399999999999999" x14ac:dyDescent="0.3">
      <c r="A59" s="49"/>
    </row>
    <row r="60" spans="1:7" ht="18" x14ac:dyDescent="0.35">
      <c r="A60" s="7" t="s">
        <v>252</v>
      </c>
      <c r="B60" s="8">
        <v>410</v>
      </c>
    </row>
    <row r="61" spans="1:7" ht="15" x14ac:dyDescent="0.3">
      <c r="A61" s="9"/>
    </row>
    <row r="62" spans="1:7" ht="51.6" customHeight="1" x14ac:dyDescent="0.3">
      <c r="A62" s="52" t="s">
        <v>85</v>
      </c>
      <c r="B62" s="416" t="s">
        <v>141</v>
      </c>
      <c r="C62" s="416"/>
      <c r="D62" s="416" t="s">
        <v>181</v>
      </c>
      <c r="E62" s="416"/>
      <c r="F62" s="416" t="s">
        <v>93</v>
      </c>
      <c r="G62" s="416"/>
    </row>
    <row r="63" spans="1:7" ht="18" x14ac:dyDescent="0.3">
      <c r="A63" s="52">
        <v>1</v>
      </c>
      <c r="B63" s="416">
        <v>2</v>
      </c>
      <c r="C63" s="416"/>
      <c r="D63" s="416">
        <v>3</v>
      </c>
      <c r="E63" s="416"/>
      <c r="F63" s="416">
        <v>4</v>
      </c>
      <c r="G63" s="416"/>
    </row>
    <row r="64" spans="1:7" ht="54" x14ac:dyDescent="0.3">
      <c r="A64" s="11" t="s">
        <v>178</v>
      </c>
      <c r="B64" s="416" t="s">
        <v>116</v>
      </c>
      <c r="C64" s="416"/>
      <c r="D64" s="416" t="s">
        <v>116</v>
      </c>
      <c r="E64" s="416"/>
      <c r="F64" s="417">
        <v>0</v>
      </c>
      <c r="G64" s="417"/>
    </row>
    <row r="65" spans="1:7" ht="17.399999999999999" x14ac:dyDescent="0.3">
      <c r="A65" s="49"/>
    </row>
    <row r="66" spans="1:7" ht="18" x14ac:dyDescent="0.35">
      <c r="A66" s="7" t="s">
        <v>252</v>
      </c>
      <c r="B66" s="8">
        <v>440</v>
      </c>
    </row>
    <row r="67" spans="1:7" ht="15" x14ac:dyDescent="0.3">
      <c r="A67" s="9"/>
    </row>
    <row r="68" spans="1:7" ht="36.6" customHeight="1" x14ac:dyDescent="0.3">
      <c r="A68" s="52" t="s">
        <v>85</v>
      </c>
      <c r="B68" s="416" t="s">
        <v>141</v>
      </c>
      <c r="C68" s="416"/>
      <c r="D68" s="416" t="s">
        <v>181</v>
      </c>
      <c r="E68" s="416"/>
      <c r="F68" s="416" t="s">
        <v>93</v>
      </c>
      <c r="G68" s="416"/>
    </row>
    <row r="69" spans="1:7" ht="18" x14ac:dyDescent="0.3">
      <c r="A69" s="52">
        <v>1</v>
      </c>
      <c r="B69" s="416">
        <v>2</v>
      </c>
      <c r="C69" s="416"/>
      <c r="D69" s="416">
        <v>3</v>
      </c>
      <c r="E69" s="416"/>
      <c r="F69" s="416">
        <v>4</v>
      </c>
      <c r="G69" s="416"/>
    </row>
    <row r="70" spans="1:7" ht="54" x14ac:dyDescent="0.3">
      <c r="A70" s="11" t="s">
        <v>178</v>
      </c>
      <c r="B70" s="416" t="s">
        <v>116</v>
      </c>
      <c r="C70" s="416"/>
      <c r="D70" s="416" t="s">
        <v>116</v>
      </c>
      <c r="E70" s="416"/>
      <c r="F70" s="417">
        <v>0</v>
      </c>
      <c r="G70" s="417"/>
    </row>
    <row r="71" spans="1:7" ht="18" x14ac:dyDescent="0.3">
      <c r="A71" s="13"/>
      <c r="B71" s="17"/>
      <c r="C71" s="17"/>
      <c r="D71" s="17"/>
      <c r="E71" s="17"/>
      <c r="F71" s="17"/>
      <c r="G71" s="17"/>
    </row>
    <row r="72" spans="1:7" ht="17.399999999999999" x14ac:dyDescent="0.3">
      <c r="A72" s="432" t="s">
        <v>251</v>
      </c>
      <c r="B72" s="432"/>
      <c r="C72" s="432"/>
      <c r="D72" s="432"/>
      <c r="E72" s="432"/>
      <c r="F72" s="432"/>
      <c r="G72" s="432"/>
    </row>
    <row r="73" spans="1:7" ht="18" x14ac:dyDescent="0.3">
      <c r="A73" s="13"/>
      <c r="B73" s="17"/>
      <c r="C73" s="17"/>
      <c r="D73" s="17"/>
      <c r="E73" s="17"/>
      <c r="F73" s="75"/>
      <c r="G73" s="75"/>
    </row>
    <row r="74" spans="1:7" ht="18" x14ac:dyDescent="0.35">
      <c r="A74" s="7" t="s">
        <v>252</v>
      </c>
      <c r="B74" s="8">
        <v>510</v>
      </c>
    </row>
    <row r="75" spans="1:7" ht="15" x14ac:dyDescent="0.3">
      <c r="A75" s="9"/>
    </row>
    <row r="76" spans="1:7" ht="38.4" customHeight="1" x14ac:dyDescent="0.3">
      <c r="A76" s="62" t="s">
        <v>85</v>
      </c>
      <c r="B76" s="416" t="s">
        <v>141</v>
      </c>
      <c r="C76" s="416"/>
      <c r="D76" s="416" t="s">
        <v>181</v>
      </c>
      <c r="E76" s="416"/>
      <c r="F76" s="416" t="s">
        <v>93</v>
      </c>
      <c r="G76" s="416"/>
    </row>
    <row r="77" spans="1:7" ht="18" x14ac:dyDescent="0.3">
      <c r="A77" s="62">
        <v>1</v>
      </c>
      <c r="B77" s="416">
        <v>2</v>
      </c>
      <c r="C77" s="416"/>
      <c r="D77" s="416">
        <v>3</v>
      </c>
      <c r="E77" s="416"/>
      <c r="F77" s="416">
        <v>4</v>
      </c>
      <c r="G77" s="416"/>
    </row>
    <row r="78" spans="1:7" ht="126" x14ac:dyDescent="0.3">
      <c r="A78" s="11" t="s">
        <v>70</v>
      </c>
      <c r="B78" s="416" t="s">
        <v>116</v>
      </c>
      <c r="C78" s="416"/>
      <c r="D78" s="416" t="s">
        <v>116</v>
      </c>
      <c r="E78" s="416"/>
      <c r="F78" s="417">
        <v>0</v>
      </c>
      <c r="G78" s="417"/>
    </row>
    <row r="79" spans="1:7" ht="18" x14ac:dyDescent="0.3">
      <c r="A79" s="13"/>
      <c r="B79" s="17"/>
      <c r="C79" s="17"/>
      <c r="D79" s="17"/>
      <c r="E79" s="17"/>
      <c r="F79" s="75"/>
      <c r="G79" s="75"/>
    </row>
    <row r="80" spans="1:7" ht="18" x14ac:dyDescent="0.35">
      <c r="A80" s="7" t="s">
        <v>252</v>
      </c>
      <c r="B80" s="8">
        <v>510</v>
      </c>
    </row>
    <row r="81" spans="1:7" ht="15" x14ac:dyDescent="0.3">
      <c r="A81" s="9"/>
    </row>
    <row r="82" spans="1:7" ht="42" customHeight="1" x14ac:dyDescent="0.3">
      <c r="A82" s="62" t="s">
        <v>85</v>
      </c>
      <c r="B82" s="416" t="s">
        <v>141</v>
      </c>
      <c r="C82" s="416"/>
      <c r="D82" s="416" t="s">
        <v>181</v>
      </c>
      <c r="E82" s="416"/>
      <c r="F82" s="416" t="s">
        <v>93</v>
      </c>
      <c r="G82" s="416"/>
    </row>
    <row r="83" spans="1:7" ht="18" x14ac:dyDescent="0.3">
      <c r="A83" s="62">
        <v>1</v>
      </c>
      <c r="B83" s="416">
        <v>2</v>
      </c>
      <c r="C83" s="416"/>
      <c r="D83" s="416">
        <v>3</v>
      </c>
      <c r="E83" s="416"/>
      <c r="F83" s="416">
        <v>4</v>
      </c>
      <c r="G83" s="416"/>
    </row>
    <row r="84" spans="1:7" ht="162" x14ac:dyDescent="0.3">
      <c r="A84" s="11" t="s">
        <v>266</v>
      </c>
      <c r="B84" s="416" t="s">
        <v>116</v>
      </c>
      <c r="C84" s="416"/>
      <c r="D84" s="416" t="s">
        <v>116</v>
      </c>
      <c r="E84" s="416"/>
      <c r="F84" s="417">
        <f>'платные на 2022 год '!D24</f>
        <v>0</v>
      </c>
      <c r="G84" s="417"/>
    </row>
    <row r="85" spans="1:7" ht="18" x14ac:dyDescent="0.3">
      <c r="A85" s="13"/>
      <c r="B85" s="17"/>
      <c r="C85" s="17"/>
      <c r="D85" s="17"/>
      <c r="E85" s="17"/>
      <c r="F85" s="17"/>
      <c r="G85" s="17"/>
    </row>
    <row r="86" spans="1:7" ht="17.399999999999999" x14ac:dyDescent="0.3">
      <c r="A86" s="432" t="s">
        <v>254</v>
      </c>
      <c r="B86" s="432"/>
      <c r="C86" s="432"/>
      <c r="D86" s="432"/>
      <c r="E86" s="432"/>
      <c r="F86" s="432"/>
      <c r="G86" s="432"/>
    </row>
    <row r="87" spans="1:7" ht="18" x14ac:dyDescent="0.3">
      <c r="A87" s="13"/>
      <c r="B87" s="17"/>
      <c r="C87" s="17"/>
      <c r="D87" s="17"/>
      <c r="E87" s="17"/>
      <c r="F87" s="75"/>
      <c r="G87" s="75"/>
    </row>
    <row r="88" spans="1:7" ht="18" x14ac:dyDescent="0.35">
      <c r="A88" s="7" t="s">
        <v>252</v>
      </c>
      <c r="B88" s="8">
        <v>180</v>
      </c>
    </row>
    <row r="89" spans="1:7" ht="15" x14ac:dyDescent="0.3">
      <c r="A89" s="9"/>
    </row>
    <row r="90" spans="1:7" ht="39" customHeight="1" x14ac:dyDescent="0.3">
      <c r="A90" s="79" t="s">
        <v>85</v>
      </c>
      <c r="B90" s="416" t="s">
        <v>141</v>
      </c>
      <c r="C90" s="416"/>
      <c r="D90" s="416" t="s">
        <v>181</v>
      </c>
      <c r="E90" s="416"/>
      <c r="F90" s="416" t="s">
        <v>93</v>
      </c>
      <c r="G90" s="416"/>
    </row>
    <row r="91" spans="1:7" ht="18" x14ac:dyDescent="0.3">
      <c r="A91" s="79">
        <v>1</v>
      </c>
      <c r="B91" s="416">
        <v>2</v>
      </c>
      <c r="C91" s="416"/>
      <c r="D91" s="416">
        <v>3</v>
      </c>
      <c r="E91" s="416"/>
      <c r="F91" s="416">
        <v>4</v>
      </c>
      <c r="G91" s="416"/>
    </row>
    <row r="92" spans="1:7" ht="18" x14ac:dyDescent="0.3">
      <c r="A92" s="11" t="s">
        <v>193</v>
      </c>
      <c r="B92" s="416" t="s">
        <v>116</v>
      </c>
      <c r="C92" s="416"/>
      <c r="D92" s="416" t="s">
        <v>116</v>
      </c>
      <c r="E92" s="416"/>
      <c r="F92" s="417">
        <f>'гос.зад на 2022 год '!E102</f>
        <v>0</v>
      </c>
      <c r="G92" s="416"/>
    </row>
    <row r="93" spans="1:7" ht="54" x14ac:dyDescent="0.3">
      <c r="A93" s="11" t="s">
        <v>194</v>
      </c>
      <c r="B93" s="416" t="s">
        <v>116</v>
      </c>
      <c r="C93" s="416"/>
      <c r="D93" s="416" t="s">
        <v>116</v>
      </c>
      <c r="E93" s="416"/>
      <c r="F93" s="417">
        <f>'гос.зад на 2022 год '!E103</f>
        <v>0</v>
      </c>
      <c r="G93" s="416"/>
    </row>
    <row r="94" spans="1:7" ht="54" x14ac:dyDescent="0.3">
      <c r="A94" s="11" t="s">
        <v>195</v>
      </c>
      <c r="B94" s="416" t="s">
        <v>116</v>
      </c>
      <c r="C94" s="416"/>
      <c r="D94" s="416" t="s">
        <v>116</v>
      </c>
      <c r="E94" s="416"/>
      <c r="F94" s="417">
        <f>'гос.зад на 2022 год '!E104</f>
        <v>0</v>
      </c>
      <c r="G94" s="416"/>
    </row>
    <row r="95" spans="1:7" ht="18" x14ac:dyDescent="0.3">
      <c r="A95" s="13"/>
      <c r="B95" s="17"/>
      <c r="C95" s="17"/>
      <c r="D95" s="17"/>
      <c r="E95" s="17"/>
      <c r="F95" s="17"/>
      <c r="G95" s="17"/>
    </row>
    <row r="96" spans="1:7" ht="48.6" customHeight="1" x14ac:dyDescent="0.3">
      <c r="A96" s="432" t="s">
        <v>187</v>
      </c>
      <c r="B96" s="432"/>
      <c r="C96" s="432"/>
      <c r="D96" s="432"/>
      <c r="E96" s="432"/>
      <c r="F96" s="432"/>
      <c r="G96" s="432"/>
    </row>
    <row r="97" spans="1:7" ht="17.399999999999999" x14ac:dyDescent="0.3">
      <c r="A97" s="6"/>
    </row>
    <row r="98" spans="1:7" ht="17.399999999999999" x14ac:dyDescent="0.3">
      <c r="A98" s="415" t="s">
        <v>188</v>
      </c>
      <c r="B98" s="415"/>
      <c r="C98" s="415"/>
      <c r="D98" s="415"/>
      <c r="E98" s="415"/>
      <c r="F98" s="415"/>
      <c r="G98" s="415"/>
    </row>
    <row r="99" spans="1:7" ht="18" x14ac:dyDescent="0.3">
      <c r="A99" s="7"/>
    </row>
    <row r="100" spans="1:7" ht="18" x14ac:dyDescent="0.35">
      <c r="A100" s="7" t="s">
        <v>144</v>
      </c>
      <c r="B100" s="8">
        <v>111</v>
      </c>
    </row>
    <row r="101" spans="1:7" ht="15" x14ac:dyDescent="0.3">
      <c r="A101" s="9"/>
    </row>
    <row r="102" spans="1:7" ht="54" customHeight="1" x14ac:dyDescent="0.3">
      <c r="A102" s="416" t="s">
        <v>75</v>
      </c>
      <c r="B102" s="416" t="s">
        <v>76</v>
      </c>
      <c r="C102" s="416" t="s">
        <v>77</v>
      </c>
      <c r="D102" s="416"/>
      <c r="E102" s="416"/>
      <c r="F102" s="416"/>
      <c r="G102" s="416" t="s">
        <v>78</v>
      </c>
    </row>
    <row r="103" spans="1:7" ht="18" x14ac:dyDescent="0.3">
      <c r="A103" s="416"/>
      <c r="B103" s="416"/>
      <c r="C103" s="416" t="s">
        <v>79</v>
      </c>
      <c r="D103" s="416" t="s">
        <v>6</v>
      </c>
      <c r="E103" s="416"/>
      <c r="F103" s="416"/>
      <c r="G103" s="416"/>
    </row>
    <row r="104" spans="1:7" ht="72" x14ac:dyDescent="0.3">
      <c r="A104" s="416"/>
      <c r="B104" s="416"/>
      <c r="C104" s="416"/>
      <c r="D104" s="10" t="s">
        <v>80</v>
      </c>
      <c r="E104" s="10" t="s">
        <v>81</v>
      </c>
      <c r="F104" s="10" t="s">
        <v>82</v>
      </c>
      <c r="G104" s="416"/>
    </row>
    <row r="105" spans="1:7" ht="18" x14ac:dyDescent="0.3">
      <c r="A105" s="52">
        <v>1</v>
      </c>
      <c r="B105" s="52">
        <v>2</v>
      </c>
      <c r="C105" s="52">
        <v>3</v>
      </c>
      <c r="D105" s="52">
        <v>4</v>
      </c>
      <c r="E105" s="52">
        <v>4</v>
      </c>
      <c r="F105" s="52">
        <v>5</v>
      </c>
      <c r="G105" s="52">
        <v>7</v>
      </c>
    </row>
    <row r="106" spans="1:7" ht="18" x14ac:dyDescent="0.3">
      <c r="A106" s="52"/>
      <c r="B106" s="52"/>
      <c r="C106" s="71"/>
      <c r="D106" s="71"/>
      <c r="E106" s="71"/>
      <c r="F106" s="71"/>
      <c r="G106" s="71"/>
    </row>
    <row r="107" spans="1:7" ht="18" x14ac:dyDescent="0.3">
      <c r="A107" s="52" t="s">
        <v>145</v>
      </c>
      <c r="B107" s="52"/>
      <c r="C107" s="71"/>
      <c r="D107" s="71"/>
      <c r="E107" s="71"/>
      <c r="F107" s="71"/>
      <c r="G107" s="71">
        <v>0</v>
      </c>
    </row>
    <row r="108" spans="1:7" ht="17.399999999999999" x14ac:dyDescent="0.3">
      <c r="A108" s="6"/>
    </row>
    <row r="109" spans="1:7" ht="17.399999999999999" x14ac:dyDescent="0.3">
      <c r="A109" s="415" t="s">
        <v>179</v>
      </c>
      <c r="B109" s="415"/>
      <c r="C109" s="415"/>
      <c r="D109" s="415"/>
      <c r="E109" s="415"/>
      <c r="F109" s="415"/>
      <c r="G109" s="415"/>
    </row>
    <row r="110" spans="1:7" ht="17.399999999999999" x14ac:dyDescent="0.3">
      <c r="A110" s="57"/>
      <c r="B110" s="57"/>
      <c r="C110" s="57"/>
      <c r="D110" s="57"/>
      <c r="E110" s="57"/>
      <c r="F110" s="57"/>
      <c r="G110" s="57"/>
    </row>
    <row r="111" spans="1:7" ht="18" x14ac:dyDescent="0.35">
      <c r="A111" s="7" t="s">
        <v>144</v>
      </c>
      <c r="B111" s="8">
        <v>119</v>
      </c>
    </row>
    <row r="112" spans="1:7" ht="15" x14ac:dyDescent="0.3">
      <c r="A112" s="9"/>
    </row>
    <row r="113" spans="1:7" ht="72" customHeight="1" x14ac:dyDescent="0.3">
      <c r="A113" s="92" t="s">
        <v>83</v>
      </c>
      <c r="B113" s="416" t="s">
        <v>243</v>
      </c>
      <c r="C113" s="416"/>
      <c r="D113" s="416" t="s">
        <v>184</v>
      </c>
      <c r="E113" s="416"/>
      <c r="F113" s="416" t="s">
        <v>84</v>
      </c>
      <c r="G113" s="416"/>
    </row>
    <row r="114" spans="1:7" ht="18" x14ac:dyDescent="0.3">
      <c r="A114" s="52">
        <v>1</v>
      </c>
      <c r="B114" s="416">
        <v>2</v>
      </c>
      <c r="C114" s="416"/>
      <c r="D114" s="416">
        <v>3</v>
      </c>
      <c r="E114" s="416"/>
      <c r="F114" s="416">
        <v>4</v>
      </c>
      <c r="G114" s="416"/>
    </row>
    <row r="115" spans="1:7" ht="18" x14ac:dyDescent="0.3">
      <c r="A115" s="93">
        <f>B107</f>
        <v>0</v>
      </c>
      <c r="B115" s="417">
        <v>0</v>
      </c>
      <c r="C115" s="417"/>
      <c r="D115" s="417">
        <f>G107</f>
        <v>0</v>
      </c>
      <c r="E115" s="417"/>
      <c r="F115" s="417">
        <f>B115-D115</f>
        <v>0</v>
      </c>
      <c r="G115" s="417"/>
    </row>
    <row r="116" spans="1:7" ht="17.399999999999999" x14ac:dyDescent="0.3">
      <c r="A116" s="6"/>
    </row>
    <row r="117" spans="1:7" ht="51" customHeight="1" x14ac:dyDescent="0.3">
      <c r="A117" s="424" t="s">
        <v>202</v>
      </c>
      <c r="B117" s="424"/>
      <c r="C117" s="424"/>
      <c r="D117" s="424"/>
      <c r="E117" s="424"/>
      <c r="F117" s="424"/>
      <c r="G117" s="424"/>
    </row>
    <row r="118" spans="1:7" ht="18" x14ac:dyDescent="0.3">
      <c r="A118" s="7"/>
    </row>
    <row r="119" spans="1:7" ht="18" x14ac:dyDescent="0.35">
      <c r="A119" s="7" t="s">
        <v>146</v>
      </c>
      <c r="B119" s="8">
        <v>112</v>
      </c>
    </row>
    <row r="120" spans="1:7" ht="15" x14ac:dyDescent="0.3">
      <c r="A120" s="9"/>
    </row>
    <row r="121" spans="1:7" ht="77.400000000000006" customHeight="1" x14ac:dyDescent="0.3">
      <c r="A121" s="52" t="s">
        <v>85</v>
      </c>
      <c r="B121" s="52" t="s">
        <v>86</v>
      </c>
      <c r="C121" s="416" t="s">
        <v>87</v>
      </c>
      <c r="D121" s="416"/>
      <c r="E121" s="52" t="s">
        <v>88</v>
      </c>
      <c r="F121" s="416" t="s">
        <v>89</v>
      </c>
      <c r="G121" s="416"/>
    </row>
    <row r="122" spans="1:7" ht="18" x14ac:dyDescent="0.3">
      <c r="A122" s="52">
        <v>1</v>
      </c>
      <c r="B122" s="52">
        <v>2</v>
      </c>
      <c r="C122" s="416">
        <v>3</v>
      </c>
      <c r="D122" s="416"/>
      <c r="E122" s="52">
        <v>4</v>
      </c>
      <c r="F122" s="416">
        <v>5</v>
      </c>
      <c r="G122" s="416"/>
    </row>
    <row r="123" spans="1:7" ht="18" x14ac:dyDescent="0.3">
      <c r="A123" s="11" t="s">
        <v>90</v>
      </c>
      <c r="B123" s="50"/>
      <c r="C123" s="416"/>
      <c r="D123" s="416"/>
      <c r="E123" s="12"/>
      <c r="F123" s="417">
        <f>B123*C123*E123</f>
        <v>0</v>
      </c>
      <c r="G123" s="417"/>
    </row>
    <row r="124" spans="1:7" ht="17.399999999999999" x14ac:dyDescent="0.3">
      <c r="A124" s="6"/>
    </row>
    <row r="125" spans="1:7" ht="33" customHeight="1" x14ac:dyDescent="0.3">
      <c r="A125" s="424" t="s">
        <v>226</v>
      </c>
      <c r="B125" s="424"/>
      <c r="C125" s="424"/>
      <c r="D125" s="424"/>
      <c r="E125" s="424"/>
      <c r="F125" s="424"/>
      <c r="G125" s="424"/>
    </row>
    <row r="126" spans="1:7" ht="18" x14ac:dyDescent="0.3">
      <c r="A126" s="7"/>
    </row>
    <row r="127" spans="1:7" ht="18" x14ac:dyDescent="0.35">
      <c r="A127" s="7" t="s">
        <v>146</v>
      </c>
      <c r="B127" s="8">
        <v>112</v>
      </c>
    </row>
    <row r="128" spans="1:7" ht="15" x14ac:dyDescent="0.3">
      <c r="A128" s="9"/>
    </row>
    <row r="129" spans="1:7" ht="36" x14ac:dyDescent="0.3">
      <c r="A129" s="52" t="s">
        <v>85</v>
      </c>
      <c r="B129" s="52" t="s">
        <v>227</v>
      </c>
      <c r="C129" s="408" t="s">
        <v>228</v>
      </c>
      <c r="D129" s="409"/>
      <c r="E129" s="410"/>
      <c r="F129" s="416" t="s">
        <v>93</v>
      </c>
      <c r="G129" s="416"/>
    </row>
    <row r="130" spans="1:7" ht="18" x14ac:dyDescent="0.3">
      <c r="A130" s="52">
        <v>1</v>
      </c>
      <c r="B130" s="52">
        <v>2</v>
      </c>
      <c r="C130" s="408">
        <v>3</v>
      </c>
      <c r="D130" s="409"/>
      <c r="E130" s="410"/>
      <c r="F130" s="416">
        <v>4</v>
      </c>
      <c r="G130" s="416"/>
    </row>
    <row r="131" spans="1:7" ht="18" x14ac:dyDescent="0.3">
      <c r="A131" s="11"/>
      <c r="B131" s="50"/>
      <c r="C131" s="408"/>
      <c r="D131" s="409"/>
      <c r="E131" s="410"/>
      <c r="F131" s="417">
        <f>B131*C131</f>
        <v>0</v>
      </c>
      <c r="G131" s="417"/>
    </row>
    <row r="132" spans="1:7" ht="18" x14ac:dyDescent="0.3">
      <c r="A132" s="13"/>
      <c r="B132" s="14"/>
      <c r="C132" s="17"/>
      <c r="D132" s="17"/>
      <c r="E132" s="18"/>
      <c r="F132" s="17"/>
      <c r="G132" s="17"/>
    </row>
    <row r="133" spans="1:7" ht="38.4" customHeight="1" x14ac:dyDescent="0.3">
      <c r="A133" s="424" t="s">
        <v>203</v>
      </c>
      <c r="B133" s="424"/>
      <c r="C133" s="424"/>
      <c r="D133" s="424"/>
      <c r="E133" s="424"/>
      <c r="F133" s="424"/>
      <c r="G133" s="424"/>
    </row>
    <row r="134" spans="1:7" ht="18" x14ac:dyDescent="0.3">
      <c r="A134" s="7"/>
    </row>
    <row r="135" spans="1:7" ht="18" x14ac:dyDescent="0.35">
      <c r="A135" s="7" t="s">
        <v>144</v>
      </c>
      <c r="B135" s="8">
        <v>112</v>
      </c>
    </row>
    <row r="136" spans="1:7" ht="15" x14ac:dyDescent="0.3">
      <c r="A136" s="9"/>
    </row>
    <row r="137" spans="1:7" ht="72" x14ac:dyDescent="0.3">
      <c r="A137" s="416" t="s">
        <v>85</v>
      </c>
      <c r="B137" s="416"/>
      <c r="C137" s="52" t="s">
        <v>91</v>
      </c>
      <c r="D137" s="416" t="s">
        <v>92</v>
      </c>
      <c r="E137" s="416"/>
      <c r="F137" s="416" t="s">
        <v>93</v>
      </c>
      <c r="G137" s="416"/>
    </row>
    <row r="138" spans="1:7" ht="18" x14ac:dyDescent="0.3">
      <c r="A138" s="408">
        <v>1</v>
      </c>
      <c r="B138" s="410"/>
      <c r="C138" s="52">
        <v>2</v>
      </c>
      <c r="D138" s="408">
        <v>3</v>
      </c>
      <c r="E138" s="410"/>
      <c r="F138" s="408">
        <v>4</v>
      </c>
      <c r="G138" s="410"/>
    </row>
    <row r="139" spans="1:7" ht="18" x14ac:dyDescent="0.3">
      <c r="A139" s="408"/>
      <c r="B139" s="410"/>
      <c r="C139" s="52"/>
      <c r="D139" s="408"/>
      <c r="E139" s="410"/>
      <c r="F139" s="452">
        <f>C139*D139</f>
        <v>0</v>
      </c>
      <c r="G139" s="453"/>
    </row>
    <row r="140" spans="1:7" ht="17.399999999999999" x14ac:dyDescent="0.3">
      <c r="A140" s="6"/>
    </row>
    <row r="141" spans="1:7" ht="36.6" customHeight="1" x14ac:dyDescent="0.3">
      <c r="A141" s="424" t="s">
        <v>204</v>
      </c>
      <c r="B141" s="424"/>
      <c r="C141" s="424"/>
      <c r="D141" s="424"/>
      <c r="E141" s="424"/>
      <c r="F141" s="424"/>
      <c r="G141" s="424"/>
    </row>
    <row r="142" spans="1:7" ht="17.399999999999999" x14ac:dyDescent="0.3">
      <c r="A142" s="51"/>
      <c r="B142" s="51"/>
      <c r="C142" s="51"/>
      <c r="D142" s="51"/>
      <c r="E142" s="51"/>
      <c r="F142" s="51"/>
      <c r="G142" s="51"/>
    </row>
    <row r="143" spans="1:7" ht="18" x14ac:dyDescent="0.35">
      <c r="A143" s="7" t="s">
        <v>146</v>
      </c>
      <c r="B143" s="8">
        <v>112</v>
      </c>
    </row>
    <row r="144" spans="1:7" ht="15" x14ac:dyDescent="0.3">
      <c r="A144" s="9"/>
    </row>
    <row r="145" spans="1:7" ht="70.2" customHeight="1" x14ac:dyDescent="0.3">
      <c r="A145" s="52" t="s">
        <v>85</v>
      </c>
      <c r="B145" s="52" t="s">
        <v>86</v>
      </c>
      <c r="C145" s="416" t="s">
        <v>87</v>
      </c>
      <c r="D145" s="416"/>
      <c r="E145" s="52" t="s">
        <v>88</v>
      </c>
      <c r="F145" s="416" t="s">
        <v>89</v>
      </c>
      <c r="G145" s="416"/>
    </row>
    <row r="146" spans="1:7" ht="18" x14ac:dyDescent="0.3">
      <c r="A146" s="52">
        <v>1</v>
      </c>
      <c r="B146" s="52">
        <v>2</v>
      </c>
      <c r="C146" s="416">
        <v>3</v>
      </c>
      <c r="D146" s="416"/>
      <c r="E146" s="52">
        <v>4</v>
      </c>
      <c r="F146" s="416">
        <v>5</v>
      </c>
      <c r="G146" s="416"/>
    </row>
    <row r="147" spans="1:7" ht="36" x14ac:dyDescent="0.3">
      <c r="A147" s="11" t="s">
        <v>94</v>
      </c>
      <c r="B147" s="50"/>
      <c r="C147" s="416"/>
      <c r="D147" s="416"/>
      <c r="E147" s="12"/>
      <c r="F147" s="417">
        <f>B147*C147*E147</f>
        <v>0</v>
      </c>
      <c r="G147" s="417"/>
    </row>
    <row r="148" spans="1:7" ht="17.399999999999999" x14ac:dyDescent="0.3">
      <c r="A148" s="6"/>
    </row>
    <row r="149" spans="1:7" ht="41.4" customHeight="1" x14ac:dyDescent="0.3">
      <c r="A149" s="424" t="s">
        <v>205</v>
      </c>
      <c r="B149" s="424"/>
      <c r="C149" s="424"/>
      <c r="D149" s="424"/>
      <c r="E149" s="424"/>
      <c r="F149" s="424"/>
      <c r="G149" s="424"/>
    </row>
    <row r="150" spans="1:7" ht="18" x14ac:dyDescent="0.3">
      <c r="A150" s="7"/>
    </row>
    <row r="151" spans="1:7" ht="18" x14ac:dyDescent="0.35">
      <c r="A151" s="7" t="s">
        <v>144</v>
      </c>
      <c r="B151" s="8">
        <v>113</v>
      </c>
    </row>
    <row r="152" spans="1:7" ht="15" x14ac:dyDescent="0.3">
      <c r="A152" s="9"/>
    </row>
    <row r="153" spans="1:7" ht="67.95" customHeight="1" x14ac:dyDescent="0.3">
      <c r="A153" s="52" t="s">
        <v>85</v>
      </c>
      <c r="B153" s="52" t="s">
        <v>95</v>
      </c>
      <c r="C153" s="416" t="s">
        <v>96</v>
      </c>
      <c r="D153" s="416"/>
      <c r="E153" s="52" t="s">
        <v>88</v>
      </c>
      <c r="F153" s="416" t="s">
        <v>89</v>
      </c>
      <c r="G153" s="416"/>
    </row>
    <row r="154" spans="1:7" ht="18" x14ac:dyDescent="0.35">
      <c r="A154" s="52">
        <v>1</v>
      </c>
      <c r="B154" s="52">
        <v>2</v>
      </c>
      <c r="C154" s="416">
        <v>3</v>
      </c>
      <c r="D154" s="416"/>
      <c r="E154" s="52">
        <v>4</v>
      </c>
      <c r="F154" s="422">
        <v>5</v>
      </c>
      <c r="G154" s="423"/>
    </row>
    <row r="155" spans="1:7" ht="90" x14ac:dyDescent="0.3">
      <c r="A155" s="11" t="s">
        <v>97</v>
      </c>
      <c r="B155" s="71"/>
      <c r="C155" s="417"/>
      <c r="D155" s="417"/>
      <c r="E155" s="73"/>
      <c r="F155" s="420">
        <f>B155*C155*E155</f>
        <v>0</v>
      </c>
      <c r="G155" s="421"/>
    </row>
    <row r="156" spans="1:7" ht="17.399999999999999" x14ac:dyDescent="0.3">
      <c r="A156" s="6"/>
    </row>
    <row r="157" spans="1:7" ht="18" x14ac:dyDescent="0.35">
      <c r="A157" s="7" t="s">
        <v>144</v>
      </c>
      <c r="B157" s="8">
        <v>119</v>
      </c>
    </row>
    <row r="158" spans="1:7" ht="15" x14ac:dyDescent="0.3">
      <c r="A158" s="9"/>
    </row>
    <row r="159" spans="1:7" ht="61.95" customHeight="1" x14ac:dyDescent="0.3">
      <c r="A159" s="52" t="s">
        <v>85</v>
      </c>
      <c r="B159" s="52" t="s">
        <v>95</v>
      </c>
      <c r="C159" s="416" t="s">
        <v>96</v>
      </c>
      <c r="D159" s="416"/>
      <c r="E159" s="52" t="s">
        <v>88</v>
      </c>
      <c r="F159" s="416" t="s">
        <v>89</v>
      </c>
      <c r="G159" s="416"/>
    </row>
    <row r="160" spans="1:7" ht="18" x14ac:dyDescent="0.35">
      <c r="A160" s="52">
        <v>1</v>
      </c>
      <c r="B160" s="52">
        <v>2</v>
      </c>
      <c r="C160" s="416">
        <v>3</v>
      </c>
      <c r="D160" s="416"/>
      <c r="E160" s="52">
        <v>4</v>
      </c>
      <c r="F160" s="422">
        <v>5</v>
      </c>
      <c r="G160" s="423"/>
    </row>
    <row r="161" spans="1:7" ht="54" x14ac:dyDescent="0.3">
      <c r="A161" s="11" t="s">
        <v>156</v>
      </c>
      <c r="B161" s="71"/>
      <c r="C161" s="417"/>
      <c r="D161" s="417"/>
      <c r="E161" s="73"/>
      <c r="F161" s="420">
        <f>B161*C161*E161</f>
        <v>0</v>
      </c>
      <c r="G161" s="421"/>
    </row>
    <row r="162" spans="1:7" ht="18" x14ac:dyDescent="0.3">
      <c r="A162" s="11" t="s">
        <v>119</v>
      </c>
      <c r="B162" s="50"/>
      <c r="C162" s="408"/>
      <c r="D162" s="410"/>
      <c r="E162" s="12"/>
      <c r="F162" s="613"/>
      <c r="G162" s="614"/>
    </row>
    <row r="163" spans="1:7" ht="17.399999999999999" x14ac:dyDescent="0.3">
      <c r="A163" s="6"/>
    </row>
    <row r="164" spans="1:7" ht="36" customHeight="1" x14ac:dyDescent="0.3">
      <c r="A164" s="424" t="s">
        <v>206</v>
      </c>
      <c r="B164" s="424"/>
      <c r="C164" s="424"/>
      <c r="D164" s="424"/>
      <c r="E164" s="424"/>
      <c r="F164" s="424"/>
      <c r="G164" s="424"/>
    </row>
    <row r="165" spans="1:7" ht="17.399999999999999" x14ac:dyDescent="0.3">
      <c r="A165" s="51"/>
      <c r="B165" s="51"/>
      <c r="C165" s="51"/>
      <c r="D165" s="51"/>
      <c r="E165" s="51"/>
      <c r="F165" s="51"/>
      <c r="G165" s="51"/>
    </row>
    <row r="166" spans="1:7" ht="18" x14ac:dyDescent="0.35">
      <c r="A166" s="7" t="s">
        <v>144</v>
      </c>
      <c r="B166" s="8">
        <v>111</v>
      </c>
    </row>
    <row r="167" spans="1:7" ht="15" x14ac:dyDescent="0.3">
      <c r="A167" s="9"/>
    </row>
    <row r="168" spans="1:7" ht="52.95" customHeight="1" x14ac:dyDescent="0.3">
      <c r="A168" s="52" t="s">
        <v>85</v>
      </c>
      <c r="B168" s="416" t="s">
        <v>98</v>
      </c>
      <c r="C168" s="416"/>
      <c r="D168" s="416" t="s">
        <v>99</v>
      </c>
      <c r="E168" s="416"/>
      <c r="F168" s="416" t="s">
        <v>100</v>
      </c>
      <c r="G168" s="416"/>
    </row>
    <row r="169" spans="1:7" ht="18" x14ac:dyDescent="0.35">
      <c r="A169" s="52">
        <v>1</v>
      </c>
      <c r="B169" s="408">
        <v>2</v>
      </c>
      <c r="C169" s="410"/>
      <c r="D169" s="408">
        <v>3</v>
      </c>
      <c r="E169" s="410"/>
      <c r="F169" s="422">
        <v>4</v>
      </c>
      <c r="G169" s="423"/>
    </row>
    <row r="170" spans="1:7" ht="90" x14ac:dyDescent="0.3">
      <c r="A170" s="11" t="s">
        <v>101</v>
      </c>
      <c r="B170" s="408"/>
      <c r="C170" s="410"/>
      <c r="D170" s="408"/>
      <c r="E170" s="410"/>
      <c r="F170" s="420">
        <f>B170*D170</f>
        <v>0</v>
      </c>
      <c r="G170" s="421"/>
    </row>
    <row r="171" spans="1:7" ht="18" x14ac:dyDescent="0.3">
      <c r="A171" s="13"/>
      <c r="B171" s="14"/>
      <c r="C171" s="14"/>
      <c r="D171" s="14"/>
      <c r="E171" s="14"/>
      <c r="F171" s="15"/>
      <c r="G171" s="15"/>
    </row>
    <row r="172" spans="1:7" ht="18" x14ac:dyDescent="0.35">
      <c r="A172" s="7" t="s">
        <v>144</v>
      </c>
      <c r="B172" s="8">
        <v>112</v>
      </c>
    </row>
    <row r="173" spans="1:7" ht="15" x14ac:dyDescent="0.3">
      <c r="A173" s="9"/>
    </row>
    <row r="174" spans="1:7" ht="78" customHeight="1" x14ac:dyDescent="0.3">
      <c r="A174" s="52" t="s">
        <v>85</v>
      </c>
      <c r="B174" s="52" t="s">
        <v>98</v>
      </c>
      <c r="C174" s="52" t="s">
        <v>102</v>
      </c>
      <c r="D174" s="416" t="s">
        <v>103</v>
      </c>
      <c r="E174" s="416"/>
      <c r="F174" s="416" t="s">
        <v>89</v>
      </c>
      <c r="G174" s="416"/>
    </row>
    <row r="175" spans="1:7" ht="18" x14ac:dyDescent="0.3">
      <c r="A175" s="52">
        <v>1</v>
      </c>
      <c r="B175" s="52">
        <v>2</v>
      </c>
      <c r="C175" s="52">
        <v>3</v>
      </c>
      <c r="D175" s="416">
        <v>4</v>
      </c>
      <c r="E175" s="416"/>
      <c r="F175" s="416">
        <v>5</v>
      </c>
      <c r="G175" s="416"/>
    </row>
    <row r="176" spans="1:7" ht="36" x14ac:dyDescent="0.3">
      <c r="A176" s="11" t="s">
        <v>104</v>
      </c>
      <c r="B176" s="50"/>
      <c r="C176" s="52"/>
      <c r="D176" s="408"/>
      <c r="E176" s="410"/>
      <c r="F176" s="452">
        <f>B176*C176*D176</f>
        <v>0</v>
      </c>
      <c r="G176" s="453"/>
    </row>
    <row r="177" spans="1:7" ht="17.399999999999999" x14ac:dyDescent="0.3">
      <c r="A177" s="6"/>
    </row>
    <row r="178" spans="1:7" ht="31.95" customHeight="1" x14ac:dyDescent="0.3">
      <c r="A178" s="415" t="s">
        <v>207</v>
      </c>
      <c r="B178" s="415"/>
      <c r="C178" s="415"/>
      <c r="D178" s="415"/>
      <c r="E178" s="415"/>
      <c r="F178" s="415"/>
      <c r="G178" s="415"/>
    </row>
    <row r="179" spans="1:7" ht="15.6" x14ac:dyDescent="0.3">
      <c r="A179" s="16"/>
    </row>
    <row r="180" spans="1:7" ht="18" x14ac:dyDescent="0.35">
      <c r="A180" s="7" t="s">
        <v>146</v>
      </c>
      <c r="B180" s="8">
        <v>321</v>
      </c>
    </row>
    <row r="181" spans="1:7" ht="15" x14ac:dyDescent="0.3">
      <c r="A181" s="9"/>
    </row>
    <row r="182" spans="1:7" ht="57.6" customHeight="1" x14ac:dyDescent="0.3">
      <c r="A182" s="52" t="s">
        <v>85</v>
      </c>
      <c r="B182" s="416" t="s">
        <v>105</v>
      </c>
      <c r="C182" s="416"/>
      <c r="D182" s="416" t="s">
        <v>106</v>
      </c>
      <c r="E182" s="416"/>
      <c r="F182" s="416" t="s">
        <v>107</v>
      </c>
      <c r="G182" s="416"/>
    </row>
    <row r="183" spans="1:7" ht="18" x14ac:dyDescent="0.3">
      <c r="A183" s="52">
        <v>1</v>
      </c>
      <c r="B183" s="408">
        <v>2</v>
      </c>
      <c r="C183" s="410"/>
      <c r="D183" s="408">
        <v>3</v>
      </c>
      <c r="E183" s="410"/>
      <c r="F183" s="408">
        <v>4</v>
      </c>
      <c r="G183" s="410"/>
    </row>
    <row r="184" spans="1:7" ht="108" x14ac:dyDescent="0.3">
      <c r="A184" s="11" t="s">
        <v>27</v>
      </c>
      <c r="B184" s="416"/>
      <c r="C184" s="416"/>
      <c r="D184" s="416"/>
      <c r="E184" s="416"/>
      <c r="F184" s="417">
        <f>B184*D184</f>
        <v>0</v>
      </c>
      <c r="G184" s="417"/>
    </row>
    <row r="185" spans="1:7" ht="18" x14ac:dyDescent="0.3">
      <c r="A185" s="11" t="s">
        <v>155</v>
      </c>
      <c r="B185" s="416"/>
      <c r="C185" s="416"/>
      <c r="D185" s="416"/>
      <c r="E185" s="416"/>
      <c r="F185" s="417"/>
      <c r="G185" s="417"/>
    </row>
    <row r="186" spans="1:7" ht="17.399999999999999" x14ac:dyDescent="0.3">
      <c r="A186" s="6"/>
    </row>
    <row r="187" spans="1:7" ht="34.950000000000003" customHeight="1" x14ac:dyDescent="0.3">
      <c r="A187" s="424" t="s">
        <v>225</v>
      </c>
      <c r="B187" s="424"/>
      <c r="C187" s="424"/>
      <c r="D187" s="424"/>
      <c r="E187" s="424"/>
      <c r="F187" s="424"/>
      <c r="G187" s="424"/>
    </row>
    <row r="188" spans="1:7" ht="18" x14ac:dyDescent="0.35">
      <c r="A188" s="7" t="s">
        <v>144</v>
      </c>
      <c r="B188" s="8">
        <v>851</v>
      </c>
    </row>
    <row r="189" spans="1:7" ht="15" x14ac:dyDescent="0.3">
      <c r="A189" s="9"/>
    </row>
    <row r="190" spans="1:7" ht="73.2" customHeight="1" x14ac:dyDescent="0.3">
      <c r="A190" s="52" t="s">
        <v>85</v>
      </c>
      <c r="B190" s="416" t="s">
        <v>108</v>
      </c>
      <c r="C190" s="416"/>
      <c r="D190" s="416" t="s">
        <v>109</v>
      </c>
      <c r="E190" s="416"/>
      <c r="F190" s="416" t="s">
        <v>110</v>
      </c>
      <c r="G190" s="416"/>
    </row>
    <row r="191" spans="1:7" ht="18" x14ac:dyDescent="0.3">
      <c r="A191" s="52">
        <v>1</v>
      </c>
      <c r="B191" s="408">
        <v>2</v>
      </c>
      <c r="C191" s="410"/>
      <c r="D191" s="559">
        <v>3</v>
      </c>
      <c r="E191" s="560"/>
      <c r="F191" s="559">
        <v>4</v>
      </c>
      <c r="G191" s="560"/>
    </row>
    <row r="192" spans="1:7" ht="36" x14ac:dyDescent="0.3">
      <c r="A192" s="11" t="s">
        <v>111</v>
      </c>
      <c r="B192" s="559"/>
      <c r="C192" s="560"/>
      <c r="D192" s="559"/>
      <c r="E192" s="560"/>
      <c r="F192" s="452">
        <f>B192*D192/100</f>
        <v>0</v>
      </c>
      <c r="G192" s="453"/>
    </row>
    <row r="193" spans="1:7" ht="36" x14ac:dyDescent="0.3">
      <c r="A193" s="11" t="s">
        <v>112</v>
      </c>
      <c r="B193" s="559"/>
      <c r="C193" s="560"/>
      <c r="D193" s="559"/>
      <c r="E193" s="560"/>
      <c r="F193" s="452">
        <f>B193*D193/100</f>
        <v>0</v>
      </c>
      <c r="G193" s="453"/>
    </row>
    <row r="194" spans="1:7" ht="18" x14ac:dyDescent="0.3">
      <c r="A194" s="13"/>
      <c r="B194" s="14"/>
      <c r="C194" s="17"/>
      <c r="D194" s="18"/>
      <c r="E194" s="19"/>
      <c r="F194" s="19"/>
      <c r="G194" s="19"/>
    </row>
    <row r="195" spans="1:7" ht="18" x14ac:dyDescent="0.3">
      <c r="A195" s="7" t="s">
        <v>113</v>
      </c>
    </row>
    <row r="196" spans="1:7" ht="15" x14ac:dyDescent="0.3">
      <c r="A196" s="9"/>
    </row>
    <row r="197" spans="1:7" ht="36.6" customHeight="1" x14ac:dyDescent="0.3">
      <c r="A197" s="52" t="s">
        <v>85</v>
      </c>
      <c r="B197" s="416" t="s">
        <v>108</v>
      </c>
      <c r="C197" s="416"/>
      <c r="D197" s="416" t="s">
        <v>109</v>
      </c>
      <c r="E197" s="416"/>
      <c r="F197" s="416" t="s">
        <v>114</v>
      </c>
      <c r="G197" s="416"/>
    </row>
    <row r="198" spans="1:7" ht="18" x14ac:dyDescent="0.35">
      <c r="A198" s="52">
        <v>1</v>
      </c>
      <c r="B198" s="408">
        <v>2</v>
      </c>
      <c r="C198" s="410"/>
      <c r="D198" s="408">
        <v>3</v>
      </c>
      <c r="E198" s="410"/>
      <c r="F198" s="422">
        <v>4</v>
      </c>
      <c r="G198" s="423"/>
    </row>
    <row r="199" spans="1:7" ht="39" customHeight="1" x14ac:dyDescent="0.3">
      <c r="A199" s="11" t="s">
        <v>115</v>
      </c>
      <c r="B199" s="408" t="s">
        <v>116</v>
      </c>
      <c r="C199" s="410"/>
      <c r="D199" s="408" t="s">
        <v>116</v>
      </c>
      <c r="E199" s="410"/>
      <c r="F199" s="420">
        <v>0</v>
      </c>
      <c r="G199" s="421"/>
    </row>
    <row r="200" spans="1:7" ht="18" x14ac:dyDescent="0.3">
      <c r="A200" s="11" t="s">
        <v>117</v>
      </c>
      <c r="B200" s="559"/>
      <c r="C200" s="560"/>
      <c r="D200" s="559"/>
      <c r="E200" s="560"/>
      <c r="F200" s="559"/>
      <c r="G200" s="560"/>
    </row>
    <row r="201" spans="1:7" ht="18" x14ac:dyDescent="0.3">
      <c r="A201" s="7"/>
    </row>
    <row r="202" spans="1:7" ht="18" x14ac:dyDescent="0.3">
      <c r="A202" s="7" t="s">
        <v>118</v>
      </c>
    </row>
    <row r="203" spans="1:7" ht="15" x14ac:dyDescent="0.3">
      <c r="A203" s="9"/>
    </row>
    <row r="204" spans="1:7" ht="42.6" customHeight="1" x14ac:dyDescent="0.3">
      <c r="A204" s="52" t="s">
        <v>85</v>
      </c>
      <c r="B204" s="416" t="s">
        <v>108</v>
      </c>
      <c r="C204" s="416"/>
      <c r="D204" s="416" t="s">
        <v>109</v>
      </c>
      <c r="E204" s="416"/>
      <c r="F204" s="416" t="s">
        <v>114</v>
      </c>
      <c r="G204" s="416"/>
    </row>
    <row r="205" spans="1:7" ht="18" x14ac:dyDescent="0.35">
      <c r="A205" s="52">
        <v>1</v>
      </c>
      <c r="B205" s="408">
        <v>2</v>
      </c>
      <c r="C205" s="410"/>
      <c r="D205" s="408">
        <v>3</v>
      </c>
      <c r="E205" s="410"/>
      <c r="F205" s="422">
        <v>4</v>
      </c>
      <c r="G205" s="423"/>
    </row>
    <row r="206" spans="1:7" ht="49.2" customHeight="1" x14ac:dyDescent="0.3">
      <c r="A206" s="11" t="s">
        <v>154</v>
      </c>
      <c r="B206" s="408" t="s">
        <v>116</v>
      </c>
      <c r="C206" s="410"/>
      <c r="D206" s="408" t="s">
        <v>116</v>
      </c>
      <c r="E206" s="410"/>
      <c r="F206" s="420">
        <v>0</v>
      </c>
      <c r="G206" s="421"/>
    </row>
    <row r="207" spans="1:7" ht="15" customHeight="1" x14ac:dyDescent="0.3">
      <c r="A207" s="11" t="s">
        <v>117</v>
      </c>
      <c r="B207" s="559"/>
      <c r="C207" s="560"/>
      <c r="D207" s="559"/>
      <c r="E207" s="560"/>
      <c r="F207" s="561"/>
      <c r="G207" s="562"/>
    </row>
    <row r="208" spans="1:7" ht="17.399999999999999" x14ac:dyDescent="0.3">
      <c r="A208" s="6"/>
    </row>
    <row r="209" spans="1:7" ht="45" customHeight="1" x14ac:dyDescent="0.3">
      <c r="A209" s="424" t="s">
        <v>208</v>
      </c>
      <c r="B209" s="424"/>
      <c r="C209" s="424"/>
      <c r="D209" s="424"/>
      <c r="E209" s="424"/>
      <c r="F209" s="424"/>
      <c r="G209" s="424"/>
    </row>
    <row r="210" spans="1:7" ht="15.6" x14ac:dyDescent="0.3">
      <c r="A210" s="16"/>
    </row>
    <row r="211" spans="1:7" ht="18" x14ac:dyDescent="0.35">
      <c r="A211" s="7" t="s">
        <v>144</v>
      </c>
      <c r="B211" s="46" t="s">
        <v>209</v>
      </c>
      <c r="C211" s="45"/>
    </row>
    <row r="212" spans="1:7" ht="15" x14ac:dyDescent="0.3">
      <c r="A212" s="9"/>
    </row>
    <row r="213" spans="1:7" ht="55.95" customHeight="1" x14ac:dyDescent="0.3">
      <c r="A213" s="52" t="s">
        <v>85</v>
      </c>
      <c r="B213" s="416" t="s">
        <v>105</v>
      </c>
      <c r="C213" s="416"/>
      <c r="D213" s="416" t="s">
        <v>106</v>
      </c>
      <c r="E213" s="416"/>
      <c r="F213" s="416" t="s">
        <v>107</v>
      </c>
      <c r="G213" s="416"/>
    </row>
    <row r="214" spans="1:7" ht="18" x14ac:dyDescent="0.3">
      <c r="A214" s="52">
        <v>1</v>
      </c>
      <c r="B214" s="416">
        <v>2</v>
      </c>
      <c r="C214" s="416"/>
      <c r="D214" s="416">
        <v>3</v>
      </c>
      <c r="E214" s="416"/>
      <c r="F214" s="416">
        <v>4</v>
      </c>
      <c r="G214" s="416"/>
    </row>
    <row r="215" spans="1:7" ht="18" x14ac:dyDescent="0.3">
      <c r="A215" s="11"/>
      <c r="B215" s="499"/>
      <c r="C215" s="499"/>
      <c r="D215" s="499"/>
      <c r="E215" s="499"/>
      <c r="F215" s="417">
        <f>B215*D215</f>
        <v>0</v>
      </c>
      <c r="G215" s="417"/>
    </row>
    <row r="216" spans="1:7" ht="18" x14ac:dyDescent="0.3">
      <c r="A216" s="11"/>
      <c r="B216" s="499"/>
      <c r="C216" s="499"/>
      <c r="D216" s="499"/>
      <c r="E216" s="499"/>
      <c r="F216" s="500"/>
      <c r="G216" s="500"/>
    </row>
    <row r="217" spans="1:7" ht="18" customHeight="1" x14ac:dyDescent="0.3">
      <c r="A217" s="6"/>
    </row>
    <row r="218" spans="1:7" ht="18" customHeight="1" x14ac:dyDescent="0.35">
      <c r="A218" s="7" t="s">
        <v>144</v>
      </c>
      <c r="B218" s="46" t="s">
        <v>210</v>
      </c>
      <c r="C218" s="45"/>
    </row>
    <row r="219" spans="1:7" ht="18" customHeight="1" x14ac:dyDescent="0.3">
      <c r="A219" s="9"/>
    </row>
    <row r="220" spans="1:7" ht="44.4" customHeight="1" x14ac:dyDescent="0.3">
      <c r="A220" s="52" t="s">
        <v>85</v>
      </c>
      <c r="B220" s="416" t="s">
        <v>105</v>
      </c>
      <c r="C220" s="416"/>
      <c r="D220" s="416" t="s">
        <v>106</v>
      </c>
      <c r="E220" s="416"/>
      <c r="F220" s="416" t="s">
        <v>107</v>
      </c>
      <c r="G220" s="416"/>
    </row>
    <row r="221" spans="1:7" ht="18" customHeight="1" x14ac:dyDescent="0.3">
      <c r="A221" s="52">
        <v>1</v>
      </c>
      <c r="B221" s="416">
        <v>2</v>
      </c>
      <c r="C221" s="416"/>
      <c r="D221" s="416">
        <v>3</v>
      </c>
      <c r="E221" s="416"/>
      <c r="F221" s="416">
        <v>4</v>
      </c>
      <c r="G221" s="416"/>
    </row>
    <row r="222" spans="1:7" ht="18" customHeight="1" x14ac:dyDescent="0.3">
      <c r="A222" s="11"/>
      <c r="B222" s="499"/>
      <c r="C222" s="499"/>
      <c r="D222" s="499"/>
      <c r="E222" s="499"/>
      <c r="F222" s="417">
        <f>B222*D222</f>
        <v>0</v>
      </c>
      <c r="G222" s="417"/>
    </row>
    <row r="223" spans="1:7" ht="18" customHeight="1" x14ac:dyDescent="0.3">
      <c r="A223" s="11"/>
      <c r="B223" s="499"/>
      <c r="C223" s="499"/>
      <c r="D223" s="499"/>
      <c r="E223" s="499"/>
      <c r="F223" s="500"/>
      <c r="G223" s="500"/>
    </row>
    <row r="224" spans="1:7" ht="18" customHeight="1" x14ac:dyDescent="0.3">
      <c r="A224" s="6"/>
    </row>
    <row r="225" spans="1:7" ht="18" customHeight="1" x14ac:dyDescent="0.35">
      <c r="A225" s="7" t="s">
        <v>144</v>
      </c>
      <c r="B225" s="46" t="s">
        <v>211</v>
      </c>
      <c r="C225" s="45"/>
    </row>
    <row r="226" spans="1:7" ht="18" customHeight="1" x14ac:dyDescent="0.3">
      <c r="A226" s="9"/>
    </row>
    <row r="227" spans="1:7" ht="42" customHeight="1" x14ac:dyDescent="0.3">
      <c r="A227" s="52" t="s">
        <v>85</v>
      </c>
      <c r="B227" s="416" t="s">
        <v>105</v>
      </c>
      <c r="C227" s="416"/>
      <c r="D227" s="416" t="s">
        <v>106</v>
      </c>
      <c r="E227" s="416"/>
      <c r="F227" s="416" t="s">
        <v>107</v>
      </c>
      <c r="G227" s="416"/>
    </row>
    <row r="228" spans="1:7" ht="18" customHeight="1" x14ac:dyDescent="0.3">
      <c r="A228" s="52">
        <v>1</v>
      </c>
      <c r="B228" s="416">
        <v>2</v>
      </c>
      <c r="C228" s="416"/>
      <c r="D228" s="416">
        <v>3</v>
      </c>
      <c r="E228" s="416"/>
      <c r="F228" s="416">
        <v>4</v>
      </c>
      <c r="G228" s="416"/>
    </row>
    <row r="229" spans="1:7" ht="18" customHeight="1" x14ac:dyDescent="0.3">
      <c r="A229" s="11"/>
      <c r="B229" s="499"/>
      <c r="C229" s="499"/>
      <c r="D229" s="499"/>
      <c r="E229" s="499"/>
      <c r="F229" s="500">
        <f>B229*D229</f>
        <v>0</v>
      </c>
      <c r="G229" s="500"/>
    </row>
    <row r="230" spans="1:7" ht="18" customHeight="1" x14ac:dyDescent="0.3">
      <c r="A230" s="11"/>
      <c r="B230" s="499"/>
      <c r="C230" s="499"/>
      <c r="D230" s="499"/>
      <c r="E230" s="499"/>
      <c r="F230" s="500"/>
      <c r="G230" s="500"/>
    </row>
    <row r="231" spans="1:7" ht="18" customHeight="1" x14ac:dyDescent="0.3">
      <c r="A231" s="13"/>
      <c r="B231" s="14"/>
      <c r="C231" s="14"/>
      <c r="D231" s="14"/>
      <c r="E231" s="14"/>
      <c r="F231" s="14"/>
      <c r="G231" s="14"/>
    </row>
    <row r="232" spans="1:7" ht="43.2" customHeight="1" x14ac:dyDescent="0.3">
      <c r="A232" s="424" t="s">
        <v>212</v>
      </c>
      <c r="B232" s="424"/>
      <c r="C232" s="424"/>
      <c r="D232" s="424"/>
      <c r="E232" s="424"/>
      <c r="F232" s="424"/>
      <c r="G232" s="424"/>
    </row>
    <row r="233" spans="1:7" ht="18" customHeight="1" x14ac:dyDescent="0.35">
      <c r="A233" s="7" t="s">
        <v>144</v>
      </c>
      <c r="B233" s="8">
        <v>853</v>
      </c>
    </row>
    <row r="234" spans="1:7" ht="18" customHeight="1" x14ac:dyDescent="0.3">
      <c r="A234" s="9"/>
    </row>
    <row r="235" spans="1:7" ht="61.95" customHeight="1" x14ac:dyDescent="0.3">
      <c r="A235" s="52" t="s">
        <v>85</v>
      </c>
      <c r="B235" s="416" t="s">
        <v>108</v>
      </c>
      <c r="C235" s="416"/>
      <c r="D235" s="416" t="s">
        <v>109</v>
      </c>
      <c r="E235" s="416"/>
      <c r="F235" s="416" t="s">
        <v>110</v>
      </c>
      <c r="G235" s="416"/>
    </row>
    <row r="236" spans="1:7" ht="18" customHeight="1" x14ac:dyDescent="0.3">
      <c r="A236" s="52">
        <v>1</v>
      </c>
      <c r="B236" s="416">
        <v>2</v>
      </c>
      <c r="C236" s="416"/>
      <c r="D236" s="416">
        <v>3</v>
      </c>
      <c r="E236" s="416"/>
      <c r="F236" s="416">
        <v>4</v>
      </c>
      <c r="G236" s="416"/>
    </row>
    <row r="237" spans="1:7" ht="18" customHeight="1" x14ac:dyDescent="0.3">
      <c r="A237" s="52"/>
      <c r="B237" s="408"/>
      <c r="C237" s="410"/>
      <c r="D237" s="408"/>
      <c r="E237" s="410"/>
      <c r="F237" s="408"/>
      <c r="G237" s="410"/>
    </row>
    <row r="238" spans="1:7" ht="18" customHeight="1" x14ac:dyDescent="0.3">
      <c r="A238" s="52" t="s">
        <v>244</v>
      </c>
      <c r="B238" s="408"/>
      <c r="C238" s="410"/>
      <c r="D238" s="408"/>
      <c r="E238" s="410"/>
      <c r="F238" s="452">
        <v>0</v>
      </c>
      <c r="G238" s="453"/>
    </row>
    <row r="239" spans="1:7" ht="18" customHeight="1" x14ac:dyDescent="0.3">
      <c r="A239" s="52"/>
      <c r="B239" s="408"/>
      <c r="C239" s="410"/>
      <c r="D239" s="408"/>
      <c r="E239" s="410"/>
      <c r="F239" s="408"/>
      <c r="G239" s="410"/>
    </row>
    <row r="240" spans="1:7" ht="18" customHeight="1" x14ac:dyDescent="0.3">
      <c r="A240" s="52" t="s">
        <v>245</v>
      </c>
      <c r="B240" s="408"/>
      <c r="C240" s="410"/>
      <c r="D240" s="408"/>
      <c r="E240" s="410"/>
      <c r="F240" s="452">
        <v>0</v>
      </c>
      <c r="G240" s="453"/>
    </row>
    <row r="241" spans="1:7" ht="18" customHeight="1" x14ac:dyDescent="0.3">
      <c r="A241" s="52"/>
      <c r="B241" s="408"/>
      <c r="C241" s="410"/>
      <c r="D241" s="408"/>
      <c r="E241" s="410"/>
      <c r="F241" s="408"/>
      <c r="G241" s="410"/>
    </row>
    <row r="242" spans="1:7" ht="18" customHeight="1" x14ac:dyDescent="0.3">
      <c r="A242" s="52" t="s">
        <v>246</v>
      </c>
      <c r="B242" s="408"/>
      <c r="C242" s="410"/>
      <c r="D242" s="408"/>
      <c r="E242" s="410"/>
      <c r="F242" s="452">
        <v>0</v>
      </c>
      <c r="G242" s="453"/>
    </row>
    <row r="243" spans="1:7" ht="18" customHeight="1" x14ac:dyDescent="0.3">
      <c r="A243" s="52"/>
      <c r="B243" s="408"/>
      <c r="C243" s="410"/>
      <c r="D243" s="408"/>
      <c r="E243" s="410"/>
      <c r="F243" s="408"/>
      <c r="G243" s="410"/>
    </row>
    <row r="244" spans="1:7" ht="18" customHeight="1" x14ac:dyDescent="0.3">
      <c r="A244" s="52" t="s">
        <v>247</v>
      </c>
      <c r="B244" s="408"/>
      <c r="C244" s="410"/>
      <c r="D244" s="408"/>
      <c r="E244" s="410"/>
      <c r="F244" s="452">
        <v>0</v>
      </c>
      <c r="G244" s="453"/>
    </row>
    <row r="245" spans="1:7" ht="18" customHeight="1" x14ac:dyDescent="0.3">
      <c r="A245" s="52"/>
      <c r="B245" s="408"/>
      <c r="C245" s="410"/>
      <c r="D245" s="408"/>
      <c r="E245" s="410"/>
      <c r="F245" s="408"/>
      <c r="G245" s="410"/>
    </row>
    <row r="246" spans="1:7" ht="18" customHeight="1" x14ac:dyDescent="0.3">
      <c r="A246" s="52" t="s">
        <v>248</v>
      </c>
      <c r="B246" s="408"/>
      <c r="C246" s="410"/>
      <c r="D246" s="408"/>
      <c r="E246" s="410"/>
      <c r="F246" s="452">
        <v>0</v>
      </c>
      <c r="G246" s="453"/>
    </row>
    <row r="247" spans="1:7" ht="18" customHeight="1" x14ac:dyDescent="0.3">
      <c r="A247" s="11"/>
      <c r="B247" s="499"/>
      <c r="C247" s="499"/>
      <c r="D247" s="499"/>
      <c r="E247" s="499"/>
      <c r="F247" s="500"/>
      <c r="G247" s="500"/>
    </row>
    <row r="248" spans="1:7" ht="18" customHeight="1" x14ac:dyDescent="0.3">
      <c r="A248" s="13"/>
      <c r="B248" s="14"/>
      <c r="C248" s="14"/>
      <c r="D248" s="14"/>
      <c r="E248" s="14"/>
      <c r="F248" s="14"/>
      <c r="G248" s="14"/>
    </row>
    <row r="249" spans="1:7" ht="28.95" customHeight="1" x14ac:dyDescent="0.3">
      <c r="A249" s="424" t="s">
        <v>213</v>
      </c>
      <c r="B249" s="424"/>
      <c r="C249" s="424"/>
      <c r="D249" s="424"/>
      <c r="E249" s="424"/>
      <c r="F249" s="424"/>
      <c r="G249" s="424"/>
    </row>
    <row r="250" spans="1:7" ht="41.4" customHeight="1" x14ac:dyDescent="0.3">
      <c r="A250" s="441" t="s">
        <v>214</v>
      </c>
      <c r="B250" s="441"/>
      <c r="C250" s="441"/>
      <c r="D250" s="441"/>
      <c r="E250" s="441"/>
      <c r="F250" s="441"/>
      <c r="G250" s="441"/>
    </row>
    <row r="251" spans="1:7" ht="17.399999999999999" x14ac:dyDescent="0.3">
      <c r="A251" s="55"/>
      <c r="B251" s="55"/>
      <c r="C251" s="55"/>
      <c r="D251" s="55"/>
      <c r="E251" s="55"/>
      <c r="F251" s="55"/>
      <c r="G251" s="55"/>
    </row>
    <row r="252" spans="1:7" ht="18" x14ac:dyDescent="0.3">
      <c r="A252" s="7" t="s">
        <v>144</v>
      </c>
      <c r="B252" s="17">
        <v>244</v>
      </c>
      <c r="C252" s="55"/>
      <c r="D252" s="55"/>
      <c r="E252" s="55"/>
      <c r="F252" s="55"/>
      <c r="G252" s="55"/>
    </row>
    <row r="253" spans="1:7" ht="17.399999999999999" x14ac:dyDescent="0.3">
      <c r="A253" s="20"/>
      <c r="B253" s="20"/>
      <c r="C253" s="20"/>
      <c r="D253" s="20"/>
      <c r="E253" s="20"/>
      <c r="F253" s="20"/>
      <c r="G253" s="20"/>
    </row>
    <row r="254" spans="1:7" ht="58.95" customHeight="1" x14ac:dyDescent="0.3">
      <c r="A254" s="52" t="s">
        <v>85</v>
      </c>
      <c r="B254" s="416" t="s">
        <v>159</v>
      </c>
      <c r="C254" s="416"/>
      <c r="D254" s="416" t="s">
        <v>121</v>
      </c>
      <c r="E254" s="416"/>
      <c r="F254" s="416" t="s">
        <v>160</v>
      </c>
      <c r="G254" s="416"/>
    </row>
    <row r="255" spans="1:7" ht="28.95" customHeight="1" x14ac:dyDescent="0.3">
      <c r="A255" s="52">
        <v>1</v>
      </c>
      <c r="B255" s="408">
        <v>2</v>
      </c>
      <c r="C255" s="410"/>
      <c r="D255" s="408">
        <v>3</v>
      </c>
      <c r="E255" s="410"/>
      <c r="F255" s="559">
        <v>4</v>
      </c>
      <c r="G255" s="560"/>
    </row>
    <row r="256" spans="1:7" ht="28.95" customHeight="1" x14ac:dyDescent="0.3">
      <c r="A256" s="11" t="s">
        <v>158</v>
      </c>
      <c r="B256" s="559"/>
      <c r="C256" s="560"/>
      <c r="D256" s="559"/>
      <c r="E256" s="560"/>
      <c r="F256" s="452">
        <f>B256*D256</f>
        <v>0</v>
      </c>
      <c r="G256" s="453"/>
    </row>
    <row r="257" spans="1:7" ht="28.95" customHeight="1" x14ac:dyDescent="0.3">
      <c r="A257" s="11" t="s">
        <v>119</v>
      </c>
      <c r="B257" s="559"/>
      <c r="C257" s="560"/>
      <c r="D257" s="559"/>
      <c r="E257" s="560"/>
      <c r="F257" s="561"/>
      <c r="G257" s="562"/>
    </row>
    <row r="258" spans="1:7" ht="17.399999999999999" x14ac:dyDescent="0.3">
      <c r="A258" s="51"/>
      <c r="B258" s="51"/>
      <c r="C258" s="51"/>
      <c r="D258" s="51"/>
      <c r="E258" s="51"/>
      <c r="F258" s="51"/>
      <c r="G258" s="51"/>
    </row>
    <row r="259" spans="1:7" ht="24.6" customHeight="1" x14ac:dyDescent="0.3">
      <c r="A259" s="415" t="s">
        <v>215</v>
      </c>
      <c r="B259" s="415"/>
      <c r="C259" s="415"/>
      <c r="D259" s="415"/>
      <c r="E259" s="415"/>
      <c r="F259" s="415"/>
      <c r="G259" s="415"/>
    </row>
    <row r="260" spans="1:7" ht="18" x14ac:dyDescent="0.3">
      <c r="A260" s="7"/>
    </row>
    <row r="261" spans="1:7" ht="18" x14ac:dyDescent="0.35">
      <c r="A261" s="7" t="s">
        <v>144</v>
      </c>
      <c r="B261" s="8">
        <v>244</v>
      </c>
    </row>
    <row r="262" spans="1:7" ht="17.399999999999999" x14ac:dyDescent="0.3">
      <c r="A262" s="6"/>
    </row>
    <row r="263" spans="1:7" ht="54.6" customHeight="1" x14ac:dyDescent="0.3">
      <c r="A263" s="52" t="s">
        <v>85</v>
      </c>
      <c r="B263" s="416" t="s">
        <v>120</v>
      </c>
      <c r="C263" s="416"/>
      <c r="D263" s="416" t="s">
        <v>121</v>
      </c>
      <c r="E263" s="416"/>
      <c r="F263" s="416" t="s">
        <v>185</v>
      </c>
      <c r="G263" s="416"/>
    </row>
    <row r="264" spans="1:7" ht="18" x14ac:dyDescent="0.3">
      <c r="A264" s="52">
        <v>1</v>
      </c>
      <c r="B264" s="408">
        <v>2</v>
      </c>
      <c r="C264" s="410"/>
      <c r="D264" s="408">
        <v>3</v>
      </c>
      <c r="E264" s="410"/>
      <c r="F264" s="559">
        <v>4</v>
      </c>
      <c r="G264" s="560"/>
    </row>
    <row r="265" spans="1:7" ht="18" x14ac:dyDescent="0.3">
      <c r="A265" s="11" t="s">
        <v>122</v>
      </c>
      <c r="B265" s="559"/>
      <c r="C265" s="560"/>
      <c r="D265" s="559"/>
      <c r="E265" s="560"/>
      <c r="F265" s="452">
        <f>B265*D265*12</f>
        <v>0</v>
      </c>
      <c r="G265" s="453"/>
    </row>
    <row r="266" spans="1:7" ht="18" x14ac:dyDescent="0.3">
      <c r="A266" s="11" t="s">
        <v>123</v>
      </c>
      <c r="B266" s="559"/>
      <c r="C266" s="560"/>
      <c r="D266" s="559"/>
      <c r="E266" s="560"/>
      <c r="F266" s="452">
        <f>B266*D266*12</f>
        <v>0</v>
      </c>
      <c r="G266" s="453"/>
    </row>
    <row r="267" spans="1:7" ht="18" x14ac:dyDescent="0.3">
      <c r="A267" s="11" t="s">
        <v>119</v>
      </c>
      <c r="B267" s="559"/>
      <c r="C267" s="560"/>
      <c r="D267" s="559"/>
      <c r="E267" s="560"/>
      <c r="F267" s="561"/>
      <c r="G267" s="562"/>
    </row>
    <row r="268" spans="1:7" ht="15" x14ac:dyDescent="0.3">
      <c r="A268" s="21"/>
    </row>
    <row r="269" spans="1:7" ht="17.399999999999999" x14ac:dyDescent="0.3">
      <c r="A269" s="415" t="s">
        <v>216</v>
      </c>
      <c r="B269" s="415"/>
      <c r="C269" s="415"/>
      <c r="D269" s="415"/>
      <c r="E269" s="415"/>
      <c r="F269" s="415"/>
      <c r="G269" s="415"/>
    </row>
    <row r="270" spans="1:7" ht="18" x14ac:dyDescent="0.3">
      <c r="A270" s="7"/>
    </row>
    <row r="271" spans="1:7" ht="18" x14ac:dyDescent="0.35">
      <c r="A271" s="7" t="s">
        <v>144</v>
      </c>
      <c r="B271" s="8">
        <v>244</v>
      </c>
    </row>
    <row r="272" spans="1:7" ht="17.399999999999999" x14ac:dyDescent="0.3">
      <c r="A272" s="6"/>
    </row>
    <row r="273" spans="1:7" ht="50.4" customHeight="1" x14ac:dyDescent="0.3">
      <c r="A273" s="52" t="s">
        <v>85</v>
      </c>
      <c r="B273" s="416" t="s">
        <v>124</v>
      </c>
      <c r="C273" s="416"/>
      <c r="D273" s="416" t="s">
        <v>92</v>
      </c>
      <c r="E273" s="416"/>
      <c r="F273" s="416" t="s">
        <v>185</v>
      </c>
      <c r="G273" s="416"/>
    </row>
    <row r="274" spans="1:7" ht="18" x14ac:dyDescent="0.3">
      <c r="A274" s="52">
        <v>1</v>
      </c>
      <c r="B274" s="408">
        <v>2</v>
      </c>
      <c r="C274" s="410"/>
      <c r="D274" s="408">
        <v>3</v>
      </c>
      <c r="E274" s="410"/>
      <c r="F274" s="408">
        <v>4</v>
      </c>
      <c r="G274" s="410"/>
    </row>
    <row r="275" spans="1:7" ht="18" x14ac:dyDescent="0.3">
      <c r="A275" s="11"/>
      <c r="B275" s="408"/>
      <c r="C275" s="410"/>
      <c r="D275" s="408"/>
      <c r="E275" s="410"/>
      <c r="F275" s="452">
        <f>B275*D275*12</f>
        <v>0</v>
      </c>
      <c r="G275" s="453"/>
    </row>
    <row r="276" spans="1:7" ht="18" x14ac:dyDescent="0.3">
      <c r="A276" s="11" t="s">
        <v>119</v>
      </c>
      <c r="B276" s="408"/>
      <c r="C276" s="410"/>
      <c r="D276" s="408"/>
      <c r="E276" s="410"/>
      <c r="F276" s="452">
        <f>B276*D276*12</f>
        <v>0</v>
      </c>
      <c r="G276" s="453"/>
    </row>
    <row r="277" spans="1:7" ht="17.399999999999999" x14ac:dyDescent="0.3">
      <c r="A277" s="6"/>
    </row>
    <row r="278" spans="1:7" ht="17.399999999999999" x14ac:dyDescent="0.3">
      <c r="A278" s="415" t="s">
        <v>217</v>
      </c>
      <c r="B278" s="415"/>
      <c r="C278" s="415"/>
      <c r="D278" s="415"/>
      <c r="E278" s="415"/>
      <c r="F278" s="415"/>
      <c r="G278" s="415"/>
    </row>
    <row r="279" spans="1:7" ht="18" x14ac:dyDescent="0.3">
      <c r="A279" s="7"/>
    </row>
    <row r="280" spans="1:7" ht="18" x14ac:dyDescent="0.35">
      <c r="A280" s="7" t="s">
        <v>144</v>
      </c>
      <c r="B280" s="8">
        <v>244</v>
      </c>
    </row>
    <row r="281" spans="1:7" ht="17.399999999999999" x14ac:dyDescent="0.3">
      <c r="A281" s="6"/>
    </row>
    <row r="282" spans="1:7" ht="54.6" customHeight="1" x14ac:dyDescent="0.3">
      <c r="A282" s="52" t="s">
        <v>85</v>
      </c>
      <c r="B282" s="416" t="s">
        <v>125</v>
      </c>
      <c r="C282" s="416"/>
      <c r="D282" s="416" t="s">
        <v>126</v>
      </c>
      <c r="E282" s="416"/>
      <c r="F282" s="416" t="s">
        <v>93</v>
      </c>
      <c r="G282" s="416"/>
    </row>
    <row r="283" spans="1:7" ht="18" x14ac:dyDescent="0.3">
      <c r="A283" s="52">
        <v>1</v>
      </c>
      <c r="B283" s="408">
        <v>2</v>
      </c>
      <c r="C283" s="410"/>
      <c r="D283" s="408">
        <v>3</v>
      </c>
      <c r="E283" s="410"/>
      <c r="F283" s="408">
        <v>4</v>
      </c>
      <c r="G283" s="410"/>
    </row>
    <row r="284" spans="1:7" ht="54" x14ac:dyDescent="0.3">
      <c r="A284" s="11" t="s">
        <v>18</v>
      </c>
      <c r="B284" s="408"/>
      <c r="C284" s="410"/>
      <c r="D284" s="408"/>
      <c r="E284" s="410"/>
      <c r="F284" s="452">
        <f>B284*D284</f>
        <v>0</v>
      </c>
      <c r="G284" s="453"/>
    </row>
    <row r="285" spans="1:7" ht="36" x14ac:dyDescent="0.3">
      <c r="A285" s="11" t="s">
        <v>19</v>
      </c>
      <c r="B285" s="408"/>
      <c r="C285" s="410"/>
      <c r="D285" s="408"/>
      <c r="E285" s="410"/>
      <c r="F285" s="452">
        <f>B285*D285</f>
        <v>0</v>
      </c>
      <c r="G285" s="453"/>
    </row>
    <row r="286" spans="1:7" ht="72" x14ac:dyDescent="0.3">
      <c r="A286" s="11" t="s">
        <v>20</v>
      </c>
      <c r="B286" s="408"/>
      <c r="C286" s="410"/>
      <c r="D286" s="408"/>
      <c r="E286" s="410"/>
      <c r="F286" s="452">
        <f>B286*D286</f>
        <v>0</v>
      </c>
      <c r="G286" s="453"/>
    </row>
    <row r="287" spans="1:7" ht="72" x14ac:dyDescent="0.3">
      <c r="A287" s="11" t="s">
        <v>21</v>
      </c>
      <c r="B287" s="408"/>
      <c r="C287" s="410"/>
      <c r="D287" s="408"/>
      <c r="E287" s="410"/>
      <c r="F287" s="452">
        <f>B287*D287</f>
        <v>0</v>
      </c>
      <c r="G287" s="453"/>
    </row>
    <row r="288" spans="1:7" ht="54" x14ac:dyDescent="0.3">
      <c r="A288" s="22" t="s">
        <v>22</v>
      </c>
      <c r="B288" s="408"/>
      <c r="C288" s="410"/>
      <c r="D288" s="408"/>
      <c r="E288" s="410"/>
      <c r="F288" s="452">
        <f>B288*D288</f>
        <v>0</v>
      </c>
      <c r="G288" s="453"/>
    </row>
    <row r="289" spans="1:7" ht="18" x14ac:dyDescent="0.3">
      <c r="A289" s="23"/>
      <c r="B289" s="24"/>
      <c r="C289" s="24"/>
      <c r="D289" s="24"/>
      <c r="E289" s="24"/>
      <c r="F289" s="24"/>
      <c r="G289" s="24"/>
    </row>
    <row r="290" spans="1:7" ht="17.399999999999999" x14ac:dyDescent="0.3">
      <c r="A290" s="547" t="s">
        <v>218</v>
      </c>
      <c r="B290" s="547"/>
      <c r="C290" s="547"/>
      <c r="D290" s="547"/>
      <c r="E290" s="547"/>
      <c r="F290" s="547"/>
      <c r="G290" s="547"/>
    </row>
    <row r="291" spans="1:7" ht="17.399999999999999" x14ac:dyDescent="0.3">
      <c r="A291" s="56"/>
      <c r="B291" s="56"/>
      <c r="C291" s="56"/>
      <c r="D291" s="56"/>
      <c r="E291" s="56"/>
      <c r="F291" s="56"/>
      <c r="G291" s="56"/>
    </row>
    <row r="292" spans="1:7" ht="18" x14ac:dyDescent="0.35">
      <c r="A292" s="7" t="s">
        <v>144</v>
      </c>
      <c r="B292" s="8">
        <v>244</v>
      </c>
    </row>
    <row r="293" spans="1:7" ht="17.399999999999999" x14ac:dyDescent="0.3">
      <c r="A293" s="6"/>
    </row>
    <row r="294" spans="1:7" ht="44.4" customHeight="1" x14ac:dyDescent="0.3">
      <c r="A294" s="52" t="s">
        <v>85</v>
      </c>
      <c r="B294" s="416" t="s">
        <v>127</v>
      </c>
      <c r="C294" s="416"/>
      <c r="D294" s="416" t="s">
        <v>147</v>
      </c>
      <c r="E294" s="416"/>
      <c r="F294" s="416" t="s">
        <v>128</v>
      </c>
      <c r="G294" s="416"/>
    </row>
    <row r="295" spans="1:7" ht="18" x14ac:dyDescent="0.3">
      <c r="A295" s="52">
        <v>1</v>
      </c>
      <c r="B295" s="408">
        <v>2</v>
      </c>
      <c r="C295" s="410"/>
      <c r="D295" s="408">
        <v>3</v>
      </c>
      <c r="E295" s="410"/>
      <c r="F295" s="408">
        <v>4</v>
      </c>
      <c r="G295" s="410"/>
    </row>
    <row r="296" spans="1:7" ht="36" x14ac:dyDescent="0.3">
      <c r="A296" s="11" t="s">
        <v>129</v>
      </c>
      <c r="B296" s="408"/>
      <c r="C296" s="410"/>
      <c r="D296" s="408"/>
      <c r="E296" s="410"/>
      <c r="F296" s="452">
        <f>B296*D296</f>
        <v>0</v>
      </c>
      <c r="G296" s="453"/>
    </row>
    <row r="297" spans="1:7" ht="18" x14ac:dyDescent="0.3">
      <c r="A297" s="11" t="s">
        <v>117</v>
      </c>
      <c r="B297" s="408"/>
      <c r="C297" s="410"/>
      <c r="D297" s="408"/>
      <c r="E297" s="410"/>
      <c r="F297" s="452">
        <f>B297*D297</f>
        <v>0</v>
      </c>
      <c r="G297" s="453"/>
    </row>
    <row r="298" spans="1:7" ht="18" x14ac:dyDescent="0.3">
      <c r="A298" s="25"/>
      <c r="B298" s="24"/>
      <c r="C298" s="24"/>
      <c r="D298" s="24"/>
      <c r="E298" s="24"/>
      <c r="F298" s="24"/>
      <c r="G298" s="24"/>
    </row>
    <row r="299" spans="1:7" ht="39" customHeight="1" x14ac:dyDescent="0.3">
      <c r="A299" s="441" t="s">
        <v>219</v>
      </c>
      <c r="B299" s="441"/>
      <c r="C299" s="441"/>
      <c r="D299" s="441"/>
      <c r="E299" s="441"/>
      <c r="F299" s="441"/>
      <c r="G299" s="441"/>
    </row>
    <row r="300" spans="1:7" ht="18" x14ac:dyDescent="0.3">
      <c r="A300" s="7"/>
    </row>
    <row r="301" spans="1:7" ht="18" x14ac:dyDescent="0.35">
      <c r="A301" s="7" t="s">
        <v>144</v>
      </c>
      <c r="B301" s="8">
        <v>243</v>
      </c>
    </row>
    <row r="302" spans="1:7" ht="17.399999999999999" x14ac:dyDescent="0.3">
      <c r="A302" s="6"/>
    </row>
    <row r="303" spans="1:7" ht="39.6" customHeight="1" x14ac:dyDescent="0.3">
      <c r="A303" s="416" t="s">
        <v>85</v>
      </c>
      <c r="B303" s="416"/>
      <c r="C303" s="416"/>
      <c r="D303" s="416" t="s">
        <v>130</v>
      </c>
      <c r="E303" s="416"/>
      <c r="F303" s="416" t="s">
        <v>131</v>
      </c>
      <c r="G303" s="416"/>
    </row>
    <row r="304" spans="1:7" ht="18" x14ac:dyDescent="0.35">
      <c r="A304" s="416">
        <v>1</v>
      </c>
      <c r="B304" s="416"/>
      <c r="C304" s="416"/>
      <c r="D304" s="422">
        <v>2</v>
      </c>
      <c r="E304" s="423"/>
      <c r="F304" s="422">
        <v>3</v>
      </c>
      <c r="G304" s="423"/>
    </row>
    <row r="305" spans="1:7" ht="43.2" customHeight="1" x14ac:dyDescent="0.3">
      <c r="A305" s="411" t="s">
        <v>162</v>
      </c>
      <c r="B305" s="411"/>
      <c r="C305" s="411"/>
      <c r="D305" s="584"/>
      <c r="E305" s="585"/>
      <c r="F305" s="420">
        <v>0</v>
      </c>
      <c r="G305" s="421"/>
    </row>
    <row r="306" spans="1:7" ht="18" x14ac:dyDescent="0.3">
      <c r="A306" s="412" t="s">
        <v>119</v>
      </c>
      <c r="B306" s="413"/>
      <c r="C306" s="414"/>
      <c r="D306" s="584"/>
      <c r="E306" s="585"/>
      <c r="F306" s="613"/>
      <c r="G306" s="614"/>
    </row>
    <row r="307" spans="1:7" ht="18" x14ac:dyDescent="0.3">
      <c r="A307" s="26"/>
      <c r="B307" s="26"/>
      <c r="C307" s="26"/>
      <c r="D307" s="15"/>
      <c r="E307" s="15"/>
      <c r="F307" s="15"/>
      <c r="G307" s="15"/>
    </row>
    <row r="308" spans="1:7" ht="18" x14ac:dyDescent="0.35">
      <c r="A308" s="7" t="s">
        <v>144</v>
      </c>
      <c r="B308" s="8">
        <v>244</v>
      </c>
    </row>
    <row r="309" spans="1:7" ht="17.399999999999999" x14ac:dyDescent="0.3">
      <c r="A309" s="6"/>
    </row>
    <row r="310" spans="1:7" ht="43.95" customHeight="1" x14ac:dyDescent="0.3">
      <c r="A310" s="416" t="s">
        <v>85</v>
      </c>
      <c r="B310" s="416"/>
      <c r="C310" s="416"/>
      <c r="D310" s="416" t="s">
        <v>130</v>
      </c>
      <c r="E310" s="416"/>
      <c r="F310" s="416" t="s">
        <v>131</v>
      </c>
      <c r="G310" s="416"/>
    </row>
    <row r="311" spans="1:7" ht="18" x14ac:dyDescent="0.35">
      <c r="A311" s="416">
        <v>1</v>
      </c>
      <c r="B311" s="416"/>
      <c r="C311" s="416"/>
      <c r="D311" s="422">
        <v>2</v>
      </c>
      <c r="E311" s="423"/>
      <c r="F311" s="422">
        <v>3</v>
      </c>
      <c r="G311" s="423"/>
    </row>
    <row r="312" spans="1:7" ht="34.200000000000003" customHeight="1" x14ac:dyDescent="0.3">
      <c r="A312" s="411" t="s">
        <v>132</v>
      </c>
      <c r="B312" s="411"/>
      <c r="C312" s="411"/>
      <c r="D312" s="584"/>
      <c r="E312" s="585"/>
      <c r="F312" s="420">
        <v>0</v>
      </c>
      <c r="G312" s="421"/>
    </row>
    <row r="313" spans="1:7" ht="34.200000000000003" customHeight="1" x14ac:dyDescent="0.3">
      <c r="A313" s="411" t="s">
        <v>133</v>
      </c>
      <c r="B313" s="411"/>
      <c r="C313" s="411"/>
      <c r="D313" s="584"/>
      <c r="E313" s="585"/>
      <c r="F313" s="420">
        <v>0</v>
      </c>
      <c r="G313" s="421"/>
    </row>
    <row r="314" spans="1:7" ht="34.200000000000003" customHeight="1" x14ac:dyDescent="0.3">
      <c r="A314" s="411" t="s">
        <v>134</v>
      </c>
      <c r="B314" s="411"/>
      <c r="C314" s="411"/>
      <c r="D314" s="584"/>
      <c r="E314" s="585"/>
      <c r="F314" s="420">
        <v>0</v>
      </c>
      <c r="G314" s="421"/>
    </row>
    <row r="315" spans="1:7" ht="34.200000000000003" customHeight="1" x14ac:dyDescent="0.3">
      <c r="A315" s="411" t="s">
        <v>135</v>
      </c>
      <c r="B315" s="411"/>
      <c r="C315" s="411"/>
      <c r="D315" s="584"/>
      <c r="E315" s="585"/>
      <c r="F315" s="420">
        <v>0</v>
      </c>
      <c r="G315" s="421"/>
    </row>
    <row r="316" spans="1:7" ht="18" x14ac:dyDescent="0.3">
      <c r="A316" s="412" t="s">
        <v>119</v>
      </c>
      <c r="B316" s="413"/>
      <c r="C316" s="414"/>
      <c r="D316" s="584"/>
      <c r="E316" s="585"/>
      <c r="F316" s="613"/>
      <c r="G316" s="614"/>
    </row>
    <row r="317" spans="1:7" ht="18" x14ac:dyDescent="0.3">
      <c r="A317" s="27"/>
    </row>
    <row r="318" spans="1:7" ht="17.399999999999999" x14ac:dyDescent="0.3">
      <c r="A318" s="415" t="s">
        <v>220</v>
      </c>
      <c r="B318" s="415"/>
      <c r="C318" s="415"/>
      <c r="D318" s="415"/>
      <c r="E318" s="415"/>
      <c r="F318" s="415"/>
      <c r="G318" s="415"/>
    </row>
    <row r="319" spans="1:7" ht="18" x14ac:dyDescent="0.3">
      <c r="A319" s="7"/>
    </row>
    <row r="320" spans="1:7" ht="18" x14ac:dyDescent="0.35">
      <c r="A320" s="7" t="s">
        <v>144</v>
      </c>
      <c r="B320" s="8">
        <v>243</v>
      </c>
    </row>
    <row r="321" spans="1:7" ht="17.399999999999999" x14ac:dyDescent="0.3">
      <c r="A321" s="6"/>
    </row>
    <row r="322" spans="1:7" ht="28.95" customHeight="1" x14ac:dyDescent="0.3">
      <c r="A322" s="416" t="s">
        <v>85</v>
      </c>
      <c r="B322" s="416"/>
      <c r="C322" s="416"/>
      <c r="D322" s="416" t="s">
        <v>136</v>
      </c>
      <c r="E322" s="416"/>
      <c r="F322" s="416" t="s">
        <v>137</v>
      </c>
      <c r="G322" s="416"/>
    </row>
    <row r="323" spans="1:7" ht="18" x14ac:dyDescent="0.35">
      <c r="A323" s="408">
        <v>1</v>
      </c>
      <c r="B323" s="409"/>
      <c r="C323" s="410"/>
      <c r="D323" s="422">
        <v>2</v>
      </c>
      <c r="E323" s="423"/>
      <c r="F323" s="422">
        <v>3</v>
      </c>
      <c r="G323" s="423"/>
    </row>
    <row r="324" spans="1:7" ht="38.4" customHeight="1" x14ac:dyDescent="0.3">
      <c r="A324" s="412" t="s">
        <v>161</v>
      </c>
      <c r="B324" s="413"/>
      <c r="C324" s="414"/>
      <c r="D324" s="584"/>
      <c r="E324" s="585"/>
      <c r="F324" s="420">
        <v>0</v>
      </c>
      <c r="G324" s="421"/>
    </row>
    <row r="325" spans="1:7" ht="18" x14ac:dyDescent="0.3">
      <c r="A325" s="412" t="s">
        <v>119</v>
      </c>
      <c r="B325" s="413"/>
      <c r="C325" s="414"/>
      <c r="D325" s="584"/>
      <c r="E325" s="585"/>
      <c r="F325" s="613"/>
      <c r="G325" s="614"/>
    </row>
    <row r="326" spans="1:7" ht="18" x14ac:dyDescent="0.3">
      <c r="A326" s="26"/>
      <c r="B326" s="26"/>
      <c r="C326" s="26"/>
      <c r="D326" s="15"/>
      <c r="E326" s="15"/>
      <c r="F326" s="15"/>
      <c r="G326" s="15"/>
    </row>
    <row r="327" spans="1:7" ht="18" x14ac:dyDescent="0.35">
      <c r="A327" s="7" t="s">
        <v>144</v>
      </c>
      <c r="B327" s="8">
        <v>244</v>
      </c>
    </row>
    <row r="328" spans="1:7" ht="17.399999999999999" x14ac:dyDescent="0.3">
      <c r="A328" s="6"/>
    </row>
    <row r="329" spans="1:7" ht="30" customHeight="1" x14ac:dyDescent="0.3">
      <c r="A329" s="416" t="s">
        <v>85</v>
      </c>
      <c r="B329" s="416"/>
      <c r="C329" s="416"/>
      <c r="D329" s="416" t="s">
        <v>136</v>
      </c>
      <c r="E329" s="416"/>
      <c r="F329" s="416" t="s">
        <v>137</v>
      </c>
      <c r="G329" s="416"/>
    </row>
    <row r="330" spans="1:7" ht="18" x14ac:dyDescent="0.35">
      <c r="A330" s="408">
        <v>1</v>
      </c>
      <c r="B330" s="409"/>
      <c r="C330" s="410"/>
      <c r="D330" s="422">
        <v>2</v>
      </c>
      <c r="E330" s="423"/>
      <c r="F330" s="422">
        <v>3</v>
      </c>
      <c r="G330" s="423"/>
    </row>
    <row r="331" spans="1:7" ht="18" x14ac:dyDescent="0.3">
      <c r="A331" s="412" t="s">
        <v>138</v>
      </c>
      <c r="B331" s="413"/>
      <c r="C331" s="414"/>
      <c r="D331" s="584"/>
      <c r="E331" s="585"/>
      <c r="F331" s="420">
        <v>0</v>
      </c>
      <c r="G331" s="421"/>
    </row>
    <row r="332" spans="1:7" ht="18" x14ac:dyDescent="0.3">
      <c r="A332" s="412" t="s">
        <v>139</v>
      </c>
      <c r="B332" s="413"/>
      <c r="C332" s="414"/>
      <c r="D332" s="584"/>
      <c r="E332" s="585"/>
      <c r="F332" s="420">
        <v>0</v>
      </c>
      <c r="G332" s="421"/>
    </row>
    <row r="333" spans="1:7" ht="18" x14ac:dyDescent="0.3">
      <c r="A333" s="412" t="s">
        <v>140</v>
      </c>
      <c r="B333" s="413"/>
      <c r="C333" s="414"/>
      <c r="D333" s="584"/>
      <c r="E333" s="585"/>
      <c r="F333" s="420">
        <v>0</v>
      </c>
      <c r="G333" s="421"/>
    </row>
    <row r="334" spans="1:7" ht="18" x14ac:dyDescent="0.3">
      <c r="A334" s="412" t="s">
        <v>119</v>
      </c>
      <c r="B334" s="413"/>
      <c r="C334" s="414"/>
      <c r="D334" s="584"/>
      <c r="E334" s="585"/>
      <c r="F334" s="613"/>
      <c r="G334" s="614"/>
    </row>
    <row r="335" spans="1:7" ht="17.399999999999999" x14ac:dyDescent="0.3">
      <c r="A335" s="6"/>
    </row>
    <row r="336" spans="1:7" ht="17.399999999999999" x14ac:dyDescent="0.3">
      <c r="A336" s="415" t="s">
        <v>221</v>
      </c>
      <c r="B336" s="415"/>
      <c r="C336" s="415"/>
      <c r="D336" s="415"/>
      <c r="E336" s="415"/>
      <c r="F336" s="415"/>
      <c r="G336" s="415"/>
    </row>
    <row r="337" spans="1:7" ht="18" x14ac:dyDescent="0.3">
      <c r="A337" s="7"/>
    </row>
    <row r="338" spans="1:7" ht="18" x14ac:dyDescent="0.35">
      <c r="A338" s="7" t="s">
        <v>144</v>
      </c>
      <c r="B338" s="8">
        <v>244</v>
      </c>
    </row>
    <row r="339" spans="1:7" ht="17.399999999999999" x14ac:dyDescent="0.3">
      <c r="A339" s="6"/>
    </row>
    <row r="340" spans="1:7" ht="36" customHeight="1" x14ac:dyDescent="0.3">
      <c r="A340" s="408" t="s">
        <v>85</v>
      </c>
      <c r="B340" s="410"/>
      <c r="C340" s="408" t="s">
        <v>136</v>
      </c>
      <c r="D340" s="410"/>
      <c r="E340" s="408" t="s">
        <v>137</v>
      </c>
      <c r="F340" s="409"/>
      <c r="G340" s="410"/>
    </row>
    <row r="341" spans="1:7" ht="18" x14ac:dyDescent="0.35">
      <c r="A341" s="408">
        <v>1</v>
      </c>
      <c r="B341" s="410"/>
      <c r="C341" s="408">
        <v>2</v>
      </c>
      <c r="D341" s="410"/>
      <c r="E341" s="422">
        <v>3</v>
      </c>
      <c r="F341" s="450"/>
      <c r="G341" s="423"/>
    </row>
    <row r="342" spans="1:7" ht="18" x14ac:dyDescent="0.3">
      <c r="A342" s="412" t="s">
        <v>25</v>
      </c>
      <c r="B342" s="414"/>
      <c r="C342" s="408"/>
      <c r="D342" s="410"/>
      <c r="E342" s="420">
        <v>0</v>
      </c>
      <c r="F342" s="593"/>
      <c r="G342" s="421"/>
    </row>
    <row r="343" spans="1:7" ht="18" x14ac:dyDescent="0.3">
      <c r="A343" s="412" t="s">
        <v>119</v>
      </c>
      <c r="B343" s="414"/>
      <c r="C343" s="408"/>
      <c r="D343" s="410"/>
      <c r="E343" s="613"/>
      <c r="F343" s="615"/>
      <c r="G343" s="614"/>
    </row>
    <row r="344" spans="1:7" ht="15" x14ac:dyDescent="0.3">
      <c r="A344" s="21"/>
    </row>
    <row r="345" spans="1:7" ht="43.2" customHeight="1" x14ac:dyDescent="0.3">
      <c r="A345" s="424" t="s">
        <v>222</v>
      </c>
      <c r="B345" s="424"/>
      <c r="C345" s="424"/>
      <c r="D345" s="424"/>
      <c r="E345" s="424"/>
      <c r="F345" s="424"/>
      <c r="G345" s="424"/>
    </row>
    <row r="346" spans="1:7" ht="18" x14ac:dyDescent="0.3">
      <c r="A346" s="27"/>
    </row>
    <row r="347" spans="1:7" ht="18" x14ac:dyDescent="0.35">
      <c r="A347" s="7" t="s">
        <v>144</v>
      </c>
      <c r="B347" s="8">
        <v>244</v>
      </c>
    </row>
    <row r="348" spans="1:7" ht="17.399999999999999" x14ac:dyDescent="0.3">
      <c r="A348" s="6"/>
    </row>
    <row r="349" spans="1:7" ht="34.950000000000003" customHeight="1" x14ac:dyDescent="0.3">
      <c r="A349" s="52" t="s">
        <v>85</v>
      </c>
      <c r="B349" s="416" t="s">
        <v>141</v>
      </c>
      <c r="C349" s="416"/>
      <c r="D349" s="416" t="s">
        <v>142</v>
      </c>
      <c r="E349" s="416"/>
      <c r="F349" s="416" t="s">
        <v>148</v>
      </c>
      <c r="G349" s="416"/>
    </row>
    <row r="350" spans="1:7" ht="18" x14ac:dyDescent="0.3">
      <c r="A350" s="52">
        <v>1</v>
      </c>
      <c r="B350" s="408">
        <v>2</v>
      </c>
      <c r="C350" s="410"/>
      <c r="D350" s="408">
        <v>3</v>
      </c>
      <c r="E350" s="410"/>
      <c r="F350" s="408">
        <v>4</v>
      </c>
      <c r="G350" s="410"/>
    </row>
    <row r="351" spans="1:7" ht="18" x14ac:dyDescent="0.3">
      <c r="A351" s="52"/>
      <c r="B351" s="408"/>
      <c r="C351" s="410"/>
      <c r="D351" s="408"/>
      <c r="E351" s="410"/>
      <c r="F351" s="452">
        <f>B351*D351</f>
        <v>0</v>
      </c>
      <c r="G351" s="453"/>
    </row>
    <row r="352" spans="1:7" ht="18" x14ac:dyDescent="0.3">
      <c r="A352" s="54" t="s">
        <v>247</v>
      </c>
      <c r="B352" s="408"/>
      <c r="C352" s="410"/>
      <c r="D352" s="408"/>
      <c r="E352" s="410"/>
      <c r="F352" s="452">
        <f>B352*D352</f>
        <v>0</v>
      </c>
      <c r="G352" s="453"/>
    </row>
    <row r="353" spans="1:7" ht="18" x14ac:dyDescent="0.3">
      <c r="A353" s="54"/>
      <c r="B353" s="408"/>
      <c r="C353" s="410"/>
      <c r="D353" s="408"/>
      <c r="E353" s="410"/>
      <c r="F353" s="452">
        <f>B353*D353</f>
        <v>0</v>
      </c>
      <c r="G353" s="453"/>
    </row>
    <row r="354" spans="1:7" ht="18" x14ac:dyDescent="0.3">
      <c r="A354" s="11" t="s">
        <v>248</v>
      </c>
      <c r="B354" s="408"/>
      <c r="C354" s="410"/>
      <c r="D354" s="408"/>
      <c r="E354" s="410"/>
      <c r="F354" s="452">
        <f>B354*D354</f>
        <v>0</v>
      </c>
      <c r="G354" s="453"/>
    </row>
    <row r="355" spans="1:7" ht="17.399999999999999" x14ac:dyDescent="0.3">
      <c r="A355" s="6"/>
    </row>
    <row r="356" spans="1:7" ht="17.399999999999999" x14ac:dyDescent="0.3">
      <c r="A356" s="415" t="s">
        <v>223</v>
      </c>
      <c r="B356" s="415"/>
      <c r="C356" s="415"/>
      <c r="D356" s="415"/>
      <c r="E356" s="415"/>
      <c r="F356" s="415"/>
      <c r="G356" s="415"/>
    </row>
    <row r="357" spans="1:7" ht="18" x14ac:dyDescent="0.3">
      <c r="A357" s="7"/>
    </row>
    <row r="358" spans="1:7" ht="18" x14ac:dyDescent="0.35">
      <c r="A358" s="7" t="s">
        <v>144</v>
      </c>
      <c r="B358" s="8">
        <v>244</v>
      </c>
    </row>
    <row r="359" spans="1:7" ht="17.399999999999999" x14ac:dyDescent="0.3">
      <c r="A359" s="6"/>
    </row>
    <row r="360" spans="1:7" ht="41.4" customHeight="1" x14ac:dyDescent="0.3">
      <c r="A360" s="52" t="s">
        <v>85</v>
      </c>
      <c r="B360" s="416" t="s">
        <v>141</v>
      </c>
      <c r="C360" s="416"/>
      <c r="D360" s="416" t="s">
        <v>142</v>
      </c>
      <c r="E360" s="416"/>
      <c r="F360" s="416" t="s">
        <v>149</v>
      </c>
      <c r="G360" s="416"/>
    </row>
    <row r="361" spans="1:7" ht="18" x14ac:dyDescent="0.3">
      <c r="A361" s="52">
        <v>1</v>
      </c>
      <c r="B361" s="408">
        <v>2</v>
      </c>
      <c r="C361" s="410"/>
      <c r="D361" s="408">
        <v>3</v>
      </c>
      <c r="E361" s="410"/>
      <c r="F361" s="408">
        <v>4</v>
      </c>
      <c r="G361" s="410"/>
    </row>
    <row r="362" spans="1:7" ht="36" x14ac:dyDescent="0.3">
      <c r="A362" s="11" t="s">
        <v>143</v>
      </c>
      <c r="B362" s="408"/>
      <c r="C362" s="410"/>
      <c r="D362" s="408"/>
      <c r="E362" s="410"/>
      <c r="F362" s="452">
        <f>B362*D362</f>
        <v>0</v>
      </c>
      <c r="G362" s="453"/>
    </row>
    <row r="363" spans="1:7" ht="18" x14ac:dyDescent="0.3">
      <c r="A363" s="11" t="s">
        <v>119</v>
      </c>
      <c r="B363" s="408"/>
      <c r="C363" s="410"/>
      <c r="D363" s="408"/>
      <c r="E363" s="410"/>
      <c r="F363" s="452">
        <f>B363*D363</f>
        <v>0</v>
      </c>
      <c r="G363" s="453"/>
    </row>
    <row r="364" spans="1:7" ht="17.399999999999999" x14ac:dyDescent="0.3">
      <c r="A364" s="6"/>
    </row>
    <row r="365" spans="1:7" ht="28.2" customHeight="1" x14ac:dyDescent="0.3">
      <c r="A365" s="415" t="s">
        <v>249</v>
      </c>
      <c r="B365" s="415"/>
      <c r="C365" s="415"/>
      <c r="D365" s="415"/>
      <c r="E365" s="415"/>
      <c r="F365" s="415"/>
      <c r="G365" s="415"/>
    </row>
    <row r="366" spans="1:7" ht="18" x14ac:dyDescent="0.3">
      <c r="A366" s="7"/>
    </row>
    <row r="367" spans="1:7" ht="18" x14ac:dyDescent="0.35">
      <c r="A367" s="7" t="s">
        <v>144</v>
      </c>
      <c r="B367" s="8">
        <v>244</v>
      </c>
    </row>
    <row r="368" spans="1:7" ht="17.399999999999999" x14ac:dyDescent="0.3">
      <c r="A368" s="6"/>
    </row>
    <row r="369" spans="1:7" ht="37.950000000000003" customHeight="1" x14ac:dyDescent="0.3">
      <c r="A369" s="52" t="s">
        <v>85</v>
      </c>
      <c r="B369" s="416" t="s">
        <v>141</v>
      </c>
      <c r="C369" s="416"/>
      <c r="D369" s="416" t="s">
        <v>142</v>
      </c>
      <c r="E369" s="416"/>
      <c r="F369" s="416" t="s">
        <v>149</v>
      </c>
      <c r="G369" s="416"/>
    </row>
    <row r="370" spans="1:7" ht="18" x14ac:dyDescent="0.3">
      <c r="A370" s="52">
        <v>1</v>
      </c>
      <c r="B370" s="408">
        <v>2</v>
      </c>
      <c r="C370" s="410"/>
      <c r="D370" s="408">
        <v>3</v>
      </c>
      <c r="E370" s="410"/>
      <c r="F370" s="408">
        <v>4</v>
      </c>
      <c r="G370" s="410"/>
    </row>
    <row r="371" spans="1:7" ht="18" x14ac:dyDescent="0.3">
      <c r="A371" s="11"/>
      <c r="B371" s="408"/>
      <c r="C371" s="410"/>
      <c r="D371" s="408"/>
      <c r="E371" s="410"/>
      <c r="F371" s="452">
        <f>B371*D371</f>
        <v>0</v>
      </c>
      <c r="G371" s="453"/>
    </row>
    <row r="372" spans="1:7" ht="18" x14ac:dyDescent="0.3">
      <c r="A372" s="11" t="s">
        <v>119</v>
      </c>
      <c r="B372" s="408"/>
      <c r="C372" s="410"/>
      <c r="D372" s="408"/>
      <c r="E372" s="410"/>
      <c r="F372" s="452"/>
      <c r="G372" s="453"/>
    </row>
    <row r="373" spans="1:7" ht="17.399999999999999" x14ac:dyDescent="0.3">
      <c r="A373" s="6"/>
    </row>
    <row r="374" spans="1:7" ht="31.95" customHeight="1" x14ac:dyDescent="0.3">
      <c r="A374" s="424" t="s">
        <v>250</v>
      </c>
      <c r="B374" s="424"/>
      <c r="C374" s="424"/>
      <c r="D374" s="424"/>
      <c r="E374" s="424"/>
      <c r="F374" s="424"/>
      <c r="G374" s="424"/>
    </row>
    <row r="375" spans="1:7" ht="18" x14ac:dyDescent="0.3">
      <c r="A375" s="7"/>
    </row>
    <row r="376" spans="1:7" ht="18" x14ac:dyDescent="0.35">
      <c r="A376" s="7" t="s">
        <v>144</v>
      </c>
      <c r="B376" s="8">
        <v>244</v>
      </c>
    </row>
    <row r="377" spans="1:7" ht="17.399999999999999" x14ac:dyDescent="0.3">
      <c r="A377" s="6"/>
    </row>
    <row r="378" spans="1:7" ht="40.950000000000003" customHeight="1" x14ac:dyDescent="0.3">
      <c r="A378" s="52" t="s">
        <v>85</v>
      </c>
      <c r="B378" s="416" t="s">
        <v>141</v>
      </c>
      <c r="C378" s="416"/>
      <c r="D378" s="416" t="s">
        <v>142</v>
      </c>
      <c r="E378" s="416"/>
      <c r="F378" s="416" t="s">
        <v>149</v>
      </c>
      <c r="G378" s="416"/>
    </row>
    <row r="379" spans="1:7" ht="18" x14ac:dyDescent="0.3">
      <c r="A379" s="52">
        <v>1</v>
      </c>
      <c r="B379" s="408">
        <v>2</v>
      </c>
      <c r="C379" s="410"/>
      <c r="D379" s="408">
        <v>3</v>
      </c>
      <c r="E379" s="410"/>
      <c r="F379" s="408">
        <v>4</v>
      </c>
      <c r="G379" s="410"/>
    </row>
    <row r="380" spans="1:7" ht="18" x14ac:dyDescent="0.3">
      <c r="A380" s="11"/>
      <c r="B380" s="559"/>
      <c r="C380" s="560"/>
      <c r="D380" s="559"/>
      <c r="E380" s="560"/>
      <c r="F380" s="561"/>
      <c r="G380" s="562"/>
    </row>
    <row r="381" spans="1:7" ht="18" x14ac:dyDescent="0.3">
      <c r="A381" s="11" t="s">
        <v>236</v>
      </c>
      <c r="B381" s="559"/>
      <c r="C381" s="560"/>
      <c r="D381" s="559"/>
      <c r="E381" s="560"/>
      <c r="F381" s="452">
        <f t="shared" ref="F381:F393" si="0">B381*D381</f>
        <v>0</v>
      </c>
      <c r="G381" s="453"/>
    </row>
    <row r="382" spans="1:7" ht="18" x14ac:dyDescent="0.3">
      <c r="A382" s="11"/>
      <c r="B382" s="559"/>
      <c r="C382" s="560"/>
      <c r="D382" s="559"/>
      <c r="E382" s="560"/>
      <c r="F382" s="452"/>
      <c r="G382" s="453"/>
    </row>
    <row r="383" spans="1:7" ht="18" x14ac:dyDescent="0.3">
      <c r="A383" s="11" t="s">
        <v>237</v>
      </c>
      <c r="B383" s="559"/>
      <c r="C383" s="560"/>
      <c r="D383" s="559"/>
      <c r="E383" s="560"/>
      <c r="F383" s="452">
        <f t="shared" si="0"/>
        <v>0</v>
      </c>
      <c r="G383" s="453"/>
    </row>
    <row r="384" spans="1:7" ht="18" x14ac:dyDescent="0.3">
      <c r="A384" s="11"/>
      <c r="B384" s="559"/>
      <c r="C384" s="560"/>
      <c r="D384" s="559"/>
      <c r="E384" s="560"/>
      <c r="F384" s="452"/>
      <c r="G384" s="453"/>
    </row>
    <row r="385" spans="1:7" ht="18" x14ac:dyDescent="0.3">
      <c r="A385" s="11" t="s">
        <v>238</v>
      </c>
      <c r="B385" s="559"/>
      <c r="C385" s="560"/>
      <c r="D385" s="559"/>
      <c r="E385" s="560"/>
      <c r="F385" s="452">
        <f t="shared" si="0"/>
        <v>0</v>
      </c>
      <c r="G385" s="453"/>
    </row>
    <row r="386" spans="1:7" ht="18" x14ac:dyDescent="0.3">
      <c r="A386" s="11"/>
      <c r="B386" s="559"/>
      <c r="C386" s="560"/>
      <c r="D386" s="559"/>
      <c r="E386" s="560"/>
      <c r="F386" s="452"/>
      <c r="G386" s="453"/>
    </row>
    <row r="387" spans="1:7" ht="18" x14ac:dyDescent="0.3">
      <c r="A387" s="11" t="s">
        <v>239</v>
      </c>
      <c r="B387" s="559"/>
      <c r="C387" s="560"/>
      <c r="D387" s="559"/>
      <c r="E387" s="560"/>
      <c r="F387" s="452">
        <f t="shared" si="0"/>
        <v>0</v>
      </c>
      <c r="G387" s="453"/>
    </row>
    <row r="388" spans="1:7" ht="18" x14ac:dyDescent="0.3">
      <c r="A388" s="11"/>
      <c r="B388" s="559"/>
      <c r="C388" s="560"/>
      <c r="D388" s="559"/>
      <c r="E388" s="560"/>
      <c r="F388" s="452"/>
      <c r="G388" s="453"/>
    </row>
    <row r="389" spans="1:7" ht="18" x14ac:dyDescent="0.3">
      <c r="A389" s="11" t="s">
        <v>240</v>
      </c>
      <c r="B389" s="559"/>
      <c r="C389" s="560"/>
      <c r="D389" s="559"/>
      <c r="E389" s="560"/>
      <c r="F389" s="452">
        <f t="shared" si="0"/>
        <v>0</v>
      </c>
      <c r="G389" s="453"/>
    </row>
    <row r="390" spans="1:7" ht="18" x14ac:dyDescent="0.3">
      <c r="A390" s="11"/>
      <c r="B390" s="559"/>
      <c r="C390" s="560"/>
      <c r="D390" s="559"/>
      <c r="E390" s="560"/>
      <c r="F390" s="452"/>
      <c r="G390" s="453"/>
    </row>
    <row r="391" spans="1:7" ht="18" x14ac:dyDescent="0.3">
      <c r="A391" s="11" t="s">
        <v>241</v>
      </c>
      <c r="B391" s="559"/>
      <c r="C391" s="560"/>
      <c r="D391" s="559"/>
      <c r="E391" s="560"/>
      <c r="F391" s="452">
        <f t="shared" si="0"/>
        <v>0</v>
      </c>
      <c r="G391" s="453"/>
    </row>
    <row r="392" spans="1:7" ht="18" x14ac:dyDescent="0.3">
      <c r="A392" s="11"/>
      <c r="B392" s="559"/>
      <c r="C392" s="560"/>
      <c r="D392" s="559"/>
      <c r="E392" s="560"/>
      <c r="F392" s="452"/>
      <c r="G392" s="453"/>
    </row>
    <row r="393" spans="1:7" ht="18" x14ac:dyDescent="0.3">
      <c r="A393" s="11" t="s">
        <v>242</v>
      </c>
      <c r="B393" s="559"/>
      <c r="C393" s="560"/>
      <c r="D393" s="559"/>
      <c r="E393" s="560"/>
      <c r="F393" s="452">
        <f t="shared" si="0"/>
        <v>0</v>
      </c>
      <c r="G393" s="453"/>
    </row>
    <row r="394" spans="1:7" ht="18" x14ac:dyDescent="0.3">
      <c r="A394" s="13"/>
      <c r="B394" s="14"/>
      <c r="C394" s="14"/>
      <c r="D394" s="14"/>
      <c r="E394" s="14"/>
      <c r="F394" s="72"/>
      <c r="G394" s="72"/>
    </row>
    <row r="395" spans="1:7" ht="18" x14ac:dyDescent="0.3">
      <c r="A395" s="27"/>
    </row>
    <row r="396" spans="1:7" ht="36" x14ac:dyDescent="0.35">
      <c r="A396" s="27" t="s">
        <v>150</v>
      </c>
      <c r="B396" s="8"/>
      <c r="C396" s="400"/>
      <c r="D396" s="400"/>
      <c r="E396" s="8"/>
      <c r="F396" s="400"/>
      <c r="G396" s="400"/>
    </row>
    <row r="397" spans="1:7" ht="18" x14ac:dyDescent="0.35">
      <c r="A397" s="27"/>
      <c r="B397" s="8"/>
      <c r="C397" s="401" t="s">
        <v>53</v>
      </c>
      <c r="D397" s="401"/>
      <c r="E397" s="8"/>
      <c r="F397" s="401" t="s">
        <v>54</v>
      </c>
      <c r="G397" s="401"/>
    </row>
    <row r="398" spans="1:7" ht="18" x14ac:dyDescent="0.35">
      <c r="A398" s="27"/>
      <c r="B398" s="8"/>
      <c r="C398" s="47"/>
      <c r="D398" s="47"/>
      <c r="E398" s="8"/>
      <c r="F398" s="47"/>
      <c r="G398" s="47"/>
    </row>
    <row r="399" spans="1:7" ht="54" x14ac:dyDescent="0.35">
      <c r="A399" s="27" t="s">
        <v>151</v>
      </c>
      <c r="B399" s="8"/>
      <c r="C399" s="400"/>
      <c r="D399" s="400"/>
      <c r="E399" s="8"/>
      <c r="F399" s="400"/>
      <c r="G399" s="400"/>
    </row>
    <row r="400" spans="1:7" ht="18" x14ac:dyDescent="0.35">
      <c r="A400" s="27"/>
      <c r="B400" s="8"/>
      <c r="C400" s="401" t="s">
        <v>53</v>
      </c>
      <c r="D400" s="401"/>
      <c r="E400" s="8"/>
      <c r="F400" s="401" t="s">
        <v>54</v>
      </c>
      <c r="G400" s="401"/>
    </row>
    <row r="401" spans="1:7" ht="18" x14ac:dyDescent="0.35">
      <c r="A401" s="27"/>
      <c r="B401" s="8"/>
      <c r="C401" s="47"/>
      <c r="D401" s="47"/>
      <c r="E401" s="8"/>
      <c r="F401" s="47"/>
      <c r="G401" s="47"/>
    </row>
    <row r="402" spans="1:7" ht="18" x14ac:dyDescent="0.35">
      <c r="A402" s="27" t="s">
        <v>152</v>
      </c>
      <c r="B402" s="8"/>
      <c r="C402" s="400"/>
      <c r="D402" s="400"/>
      <c r="E402" s="8"/>
      <c r="F402" s="400"/>
      <c r="G402" s="400"/>
    </row>
    <row r="403" spans="1:7" ht="18" x14ac:dyDescent="0.35">
      <c r="A403" s="27"/>
      <c r="B403" s="8"/>
      <c r="C403" s="401" t="s">
        <v>53</v>
      </c>
      <c r="D403" s="401"/>
      <c r="E403" s="8"/>
      <c r="F403" s="401" t="s">
        <v>54</v>
      </c>
      <c r="G403" s="401"/>
    </row>
    <row r="404" spans="1:7" ht="18" x14ac:dyDescent="0.35">
      <c r="A404" s="27" t="s">
        <v>153</v>
      </c>
      <c r="B404" s="8"/>
      <c r="C404" s="8"/>
      <c r="D404" s="8"/>
      <c r="E404" s="8"/>
      <c r="F404" s="8"/>
      <c r="G404" s="8"/>
    </row>
    <row r="405" spans="1:7" ht="18" x14ac:dyDescent="0.35">
      <c r="A405" s="396" t="s">
        <v>44</v>
      </c>
      <c r="B405" s="396"/>
      <c r="C405" s="8"/>
      <c r="D405" s="8"/>
      <c r="E405" s="8"/>
      <c r="F405" s="8"/>
      <c r="G405" s="8"/>
    </row>
  </sheetData>
  <mergeCells count="595">
    <mergeCell ref="B93:C93"/>
    <mergeCell ref="D93:E93"/>
    <mergeCell ref="F93:G93"/>
    <mergeCell ref="B94:C94"/>
    <mergeCell ref="D94:E94"/>
    <mergeCell ref="F94:G94"/>
    <mergeCell ref="A86:G86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D370:E370"/>
    <mergeCell ref="F370:G370"/>
    <mergeCell ref="F351:G351"/>
    <mergeCell ref="F352:G352"/>
    <mergeCell ref="B351:C351"/>
    <mergeCell ref="D351:E351"/>
    <mergeCell ref="B352:C352"/>
    <mergeCell ref="D352:E352"/>
    <mergeCell ref="B246:C246"/>
    <mergeCell ref="D246:E246"/>
    <mergeCell ref="F246:G246"/>
    <mergeCell ref="B247:C247"/>
    <mergeCell ref="D247:E247"/>
    <mergeCell ref="F247:G247"/>
    <mergeCell ref="A345:G345"/>
    <mergeCell ref="B349:C349"/>
    <mergeCell ref="D349:E349"/>
    <mergeCell ref="F349:G349"/>
    <mergeCell ref="B350:C350"/>
    <mergeCell ref="D350:E350"/>
    <mergeCell ref="F350:G350"/>
    <mergeCell ref="A342:B342"/>
    <mergeCell ref="C342:D342"/>
    <mergeCell ref="E342:G342"/>
    <mergeCell ref="D243:E243"/>
    <mergeCell ref="F243:G243"/>
    <mergeCell ref="E343:G343"/>
    <mergeCell ref="A336:G336"/>
    <mergeCell ref="A340:B340"/>
    <mergeCell ref="C340:D340"/>
    <mergeCell ref="E340:G340"/>
    <mergeCell ref="A341:B341"/>
    <mergeCell ref="C341:D341"/>
    <mergeCell ref="E341:G341"/>
    <mergeCell ref="A333:C333"/>
    <mergeCell ref="D333:E333"/>
    <mergeCell ref="F333:G333"/>
    <mergeCell ref="A334:C334"/>
    <mergeCell ref="D334:E334"/>
    <mergeCell ref="F334:G334"/>
    <mergeCell ref="A331:C331"/>
    <mergeCell ref="D331:E331"/>
    <mergeCell ref="F331:G331"/>
    <mergeCell ref="A332:C332"/>
    <mergeCell ref="D332:E332"/>
    <mergeCell ref="F332:G332"/>
    <mergeCell ref="A329:C329"/>
    <mergeCell ref="D329:E329"/>
    <mergeCell ref="A405:B405"/>
    <mergeCell ref="B237:C237"/>
    <mergeCell ref="D237:E237"/>
    <mergeCell ref="F237:G237"/>
    <mergeCell ref="B238:C238"/>
    <mergeCell ref="D238:E238"/>
    <mergeCell ref="F238:G238"/>
    <mergeCell ref="B239:C239"/>
    <mergeCell ref="D239:E239"/>
    <mergeCell ref="F239:G239"/>
    <mergeCell ref="C400:D400"/>
    <mergeCell ref="F400:G400"/>
    <mergeCell ref="C402:D402"/>
    <mergeCell ref="F402:G402"/>
    <mergeCell ref="C403:D403"/>
    <mergeCell ref="F403:G403"/>
    <mergeCell ref="C396:D396"/>
    <mergeCell ref="F396:G396"/>
    <mergeCell ref="A343:B343"/>
    <mergeCell ref="C343:D343"/>
    <mergeCell ref="B244:C244"/>
    <mergeCell ref="D244:E244"/>
    <mergeCell ref="F244:G244"/>
    <mergeCell ref="B245:C245"/>
    <mergeCell ref="C397:D397"/>
    <mergeCell ref="F397:G397"/>
    <mergeCell ref="C399:D399"/>
    <mergeCell ref="F399:G399"/>
    <mergeCell ref="B392:C392"/>
    <mergeCell ref="D392:E392"/>
    <mergeCell ref="F392:G392"/>
    <mergeCell ref="B393:C393"/>
    <mergeCell ref="D393:E393"/>
    <mergeCell ref="F393:G393"/>
    <mergeCell ref="B390:C390"/>
    <mergeCell ref="D390:E390"/>
    <mergeCell ref="F390:G390"/>
    <mergeCell ref="B391:C391"/>
    <mergeCell ref="D391:E391"/>
    <mergeCell ref="F391:G391"/>
    <mergeCell ref="B388:C388"/>
    <mergeCell ref="D388:E388"/>
    <mergeCell ref="F388:G388"/>
    <mergeCell ref="B389:C389"/>
    <mergeCell ref="D389:E389"/>
    <mergeCell ref="F389:G389"/>
    <mergeCell ref="B386:C386"/>
    <mergeCell ref="D386:E386"/>
    <mergeCell ref="F386:G386"/>
    <mergeCell ref="B387:C387"/>
    <mergeCell ref="D387:E387"/>
    <mergeCell ref="F387:G387"/>
    <mergeCell ref="B384:C384"/>
    <mergeCell ref="D384:E384"/>
    <mergeCell ref="F384:G384"/>
    <mergeCell ref="B385:C385"/>
    <mergeCell ref="D385:E385"/>
    <mergeCell ref="F385:G385"/>
    <mergeCell ref="B382:C382"/>
    <mergeCell ref="D382:E382"/>
    <mergeCell ref="F382:G382"/>
    <mergeCell ref="B383:C383"/>
    <mergeCell ref="D383:E383"/>
    <mergeCell ref="F383:G383"/>
    <mergeCell ref="B380:C380"/>
    <mergeCell ref="D380:E380"/>
    <mergeCell ref="F380:G380"/>
    <mergeCell ref="B381:C381"/>
    <mergeCell ref="D381:E381"/>
    <mergeCell ref="F381:G381"/>
    <mergeCell ref="A374:G374"/>
    <mergeCell ref="B378:C378"/>
    <mergeCell ref="D378:E378"/>
    <mergeCell ref="F378:G378"/>
    <mergeCell ref="B379:C379"/>
    <mergeCell ref="D379:E379"/>
    <mergeCell ref="F379:G379"/>
    <mergeCell ref="B362:C362"/>
    <mergeCell ref="D362:E362"/>
    <mergeCell ref="F362:G362"/>
    <mergeCell ref="B363:C363"/>
    <mergeCell ref="D363:E363"/>
    <mergeCell ref="F363:G363"/>
    <mergeCell ref="B371:C371"/>
    <mergeCell ref="D371:E371"/>
    <mergeCell ref="F371:G371"/>
    <mergeCell ref="B372:C372"/>
    <mergeCell ref="D372:E372"/>
    <mergeCell ref="F372:G372"/>
    <mergeCell ref="A365:G365"/>
    <mergeCell ref="B369:C369"/>
    <mergeCell ref="D369:E369"/>
    <mergeCell ref="F369:G369"/>
    <mergeCell ref="B370:C370"/>
    <mergeCell ref="A356:G356"/>
    <mergeCell ref="B360:C360"/>
    <mergeCell ref="D360:E360"/>
    <mergeCell ref="F360:G360"/>
    <mergeCell ref="B361:C361"/>
    <mergeCell ref="D361:E361"/>
    <mergeCell ref="F361:G361"/>
    <mergeCell ref="B353:C353"/>
    <mergeCell ref="D353:E353"/>
    <mergeCell ref="F353:G353"/>
    <mergeCell ref="B354:C354"/>
    <mergeCell ref="D354:E354"/>
    <mergeCell ref="F354:G354"/>
    <mergeCell ref="F329:G329"/>
    <mergeCell ref="A330:C330"/>
    <mergeCell ref="D330:E330"/>
    <mergeCell ref="F330:G330"/>
    <mergeCell ref="A324:C324"/>
    <mergeCell ref="D324:E324"/>
    <mergeCell ref="F324:G324"/>
    <mergeCell ref="A325:C325"/>
    <mergeCell ref="D325:E325"/>
    <mergeCell ref="F325:G325"/>
    <mergeCell ref="A318:G318"/>
    <mergeCell ref="A322:C322"/>
    <mergeCell ref="D322:E322"/>
    <mergeCell ref="F322:G322"/>
    <mergeCell ref="A323:C323"/>
    <mergeCell ref="D323:E323"/>
    <mergeCell ref="F323:G323"/>
    <mergeCell ref="A315:C315"/>
    <mergeCell ref="D315:E315"/>
    <mergeCell ref="F315:G315"/>
    <mergeCell ref="A316:C316"/>
    <mergeCell ref="D316:E316"/>
    <mergeCell ref="F316:G316"/>
    <mergeCell ref="A313:C313"/>
    <mergeCell ref="D313:E313"/>
    <mergeCell ref="F313:G313"/>
    <mergeCell ref="A314:C314"/>
    <mergeCell ref="D314:E314"/>
    <mergeCell ref="F314:G314"/>
    <mergeCell ref="A311:C311"/>
    <mergeCell ref="D311:E311"/>
    <mergeCell ref="F311:G311"/>
    <mergeCell ref="A312:C312"/>
    <mergeCell ref="D312:E312"/>
    <mergeCell ref="F312:G312"/>
    <mergeCell ref="A306:C306"/>
    <mergeCell ref="D306:E306"/>
    <mergeCell ref="F306:G306"/>
    <mergeCell ref="A310:C310"/>
    <mergeCell ref="D310:E310"/>
    <mergeCell ref="F310:G310"/>
    <mergeCell ref="A304:C304"/>
    <mergeCell ref="D304:E304"/>
    <mergeCell ref="F304:G304"/>
    <mergeCell ref="A305:C305"/>
    <mergeCell ref="D305:E305"/>
    <mergeCell ref="F305:G305"/>
    <mergeCell ref="B297:C297"/>
    <mergeCell ref="D297:E297"/>
    <mergeCell ref="F297:G297"/>
    <mergeCell ref="A299:G299"/>
    <mergeCell ref="A303:C303"/>
    <mergeCell ref="D303:E303"/>
    <mergeCell ref="F303:G303"/>
    <mergeCell ref="B295:C295"/>
    <mergeCell ref="D295:E295"/>
    <mergeCell ref="F295:G295"/>
    <mergeCell ref="B296:C296"/>
    <mergeCell ref="D296:E296"/>
    <mergeCell ref="F296:G296"/>
    <mergeCell ref="B288:C288"/>
    <mergeCell ref="D288:E288"/>
    <mergeCell ref="F288:G288"/>
    <mergeCell ref="A290:G290"/>
    <mergeCell ref="B294:C294"/>
    <mergeCell ref="D294:E294"/>
    <mergeCell ref="F294:G294"/>
    <mergeCell ref="B286:C286"/>
    <mergeCell ref="D286:E286"/>
    <mergeCell ref="F286:G286"/>
    <mergeCell ref="B287:C287"/>
    <mergeCell ref="D287:E287"/>
    <mergeCell ref="F287:G287"/>
    <mergeCell ref="B284:C284"/>
    <mergeCell ref="D284:E284"/>
    <mergeCell ref="F284:G284"/>
    <mergeCell ref="B285:C285"/>
    <mergeCell ref="D285:E285"/>
    <mergeCell ref="F285:G285"/>
    <mergeCell ref="A278:G278"/>
    <mergeCell ref="B282:C282"/>
    <mergeCell ref="D282:E282"/>
    <mergeCell ref="F282:G282"/>
    <mergeCell ref="B283:C283"/>
    <mergeCell ref="D283:E283"/>
    <mergeCell ref="F283:G283"/>
    <mergeCell ref="B275:C275"/>
    <mergeCell ref="D275:E275"/>
    <mergeCell ref="F275:G275"/>
    <mergeCell ref="B276:C276"/>
    <mergeCell ref="D276:E276"/>
    <mergeCell ref="F276:G276"/>
    <mergeCell ref="A269:G269"/>
    <mergeCell ref="B273:C273"/>
    <mergeCell ref="D273:E273"/>
    <mergeCell ref="F273:G273"/>
    <mergeCell ref="B274:C274"/>
    <mergeCell ref="D274:E274"/>
    <mergeCell ref="F274:G274"/>
    <mergeCell ref="B266:C266"/>
    <mergeCell ref="D266:E266"/>
    <mergeCell ref="F266:G266"/>
    <mergeCell ref="B267:C267"/>
    <mergeCell ref="D267:E267"/>
    <mergeCell ref="F267:G267"/>
    <mergeCell ref="B264:C264"/>
    <mergeCell ref="D264:E264"/>
    <mergeCell ref="F264:G264"/>
    <mergeCell ref="B265:C265"/>
    <mergeCell ref="D265:E265"/>
    <mergeCell ref="F265:G265"/>
    <mergeCell ref="B257:C257"/>
    <mergeCell ref="D257:E257"/>
    <mergeCell ref="F257:G257"/>
    <mergeCell ref="A259:G259"/>
    <mergeCell ref="B263:C263"/>
    <mergeCell ref="D263:E263"/>
    <mergeCell ref="F263:G263"/>
    <mergeCell ref="B255:C255"/>
    <mergeCell ref="D255:E255"/>
    <mergeCell ref="F255:G255"/>
    <mergeCell ref="B256:C256"/>
    <mergeCell ref="D256:E256"/>
    <mergeCell ref="F256:G256"/>
    <mergeCell ref="A249:G249"/>
    <mergeCell ref="A250:G250"/>
    <mergeCell ref="B254:C254"/>
    <mergeCell ref="D254:E254"/>
    <mergeCell ref="F254:G254"/>
    <mergeCell ref="A232:G232"/>
    <mergeCell ref="B235:C235"/>
    <mergeCell ref="D235:E235"/>
    <mergeCell ref="F235:G235"/>
    <mergeCell ref="B236:C236"/>
    <mergeCell ref="D236:E236"/>
    <mergeCell ref="F236:G236"/>
    <mergeCell ref="B240:C240"/>
    <mergeCell ref="D240:E240"/>
    <mergeCell ref="F240:G240"/>
    <mergeCell ref="B241:C241"/>
    <mergeCell ref="D241:E241"/>
    <mergeCell ref="F241:G241"/>
    <mergeCell ref="D245:E245"/>
    <mergeCell ref="F245:G245"/>
    <mergeCell ref="B242:C242"/>
    <mergeCell ref="D242:E242"/>
    <mergeCell ref="F242:G242"/>
    <mergeCell ref="B243:C243"/>
    <mergeCell ref="B229:C229"/>
    <mergeCell ref="D229:E229"/>
    <mergeCell ref="F229:G229"/>
    <mergeCell ref="B230:C230"/>
    <mergeCell ref="D230:E230"/>
    <mergeCell ref="F230:G230"/>
    <mergeCell ref="B227:C227"/>
    <mergeCell ref="D227:E227"/>
    <mergeCell ref="F227:G227"/>
    <mergeCell ref="B228:C228"/>
    <mergeCell ref="D228:E228"/>
    <mergeCell ref="F228:G228"/>
    <mergeCell ref="B222:C222"/>
    <mergeCell ref="D222:E222"/>
    <mergeCell ref="F222:G222"/>
    <mergeCell ref="B223:C223"/>
    <mergeCell ref="D223:E223"/>
    <mergeCell ref="F223:G223"/>
    <mergeCell ref="B220:C220"/>
    <mergeCell ref="D220:E220"/>
    <mergeCell ref="F220:G220"/>
    <mergeCell ref="B221:C221"/>
    <mergeCell ref="D221:E221"/>
    <mergeCell ref="F221:G221"/>
    <mergeCell ref="B215:C215"/>
    <mergeCell ref="D215:E215"/>
    <mergeCell ref="F215:G215"/>
    <mergeCell ref="B216:C216"/>
    <mergeCell ref="D216:E216"/>
    <mergeCell ref="F216:G216"/>
    <mergeCell ref="A209:G209"/>
    <mergeCell ref="B213:C213"/>
    <mergeCell ref="D213:E213"/>
    <mergeCell ref="F213:G213"/>
    <mergeCell ref="B214:C214"/>
    <mergeCell ref="D214:E214"/>
    <mergeCell ref="F214:G214"/>
    <mergeCell ref="B206:C206"/>
    <mergeCell ref="D206:E206"/>
    <mergeCell ref="F206:G206"/>
    <mergeCell ref="B207:C207"/>
    <mergeCell ref="D207:E207"/>
    <mergeCell ref="F207:G207"/>
    <mergeCell ref="B204:C204"/>
    <mergeCell ref="D204:E204"/>
    <mergeCell ref="F204:G204"/>
    <mergeCell ref="B205:C205"/>
    <mergeCell ref="D205:E205"/>
    <mergeCell ref="F205:G205"/>
    <mergeCell ref="B199:C199"/>
    <mergeCell ref="D199:E199"/>
    <mergeCell ref="F199:G199"/>
    <mergeCell ref="B200:C200"/>
    <mergeCell ref="D200:E200"/>
    <mergeCell ref="F200:G200"/>
    <mergeCell ref="B197:C197"/>
    <mergeCell ref="D197:E197"/>
    <mergeCell ref="F197:G197"/>
    <mergeCell ref="B198:C198"/>
    <mergeCell ref="D198:E198"/>
    <mergeCell ref="F198:G198"/>
    <mergeCell ref="B192:C192"/>
    <mergeCell ref="D192:E192"/>
    <mergeCell ref="F192:G192"/>
    <mergeCell ref="B193:C193"/>
    <mergeCell ref="D193:E193"/>
    <mergeCell ref="F193:G193"/>
    <mergeCell ref="A187:G187"/>
    <mergeCell ref="B190:C190"/>
    <mergeCell ref="D190:E190"/>
    <mergeCell ref="F190:G190"/>
    <mergeCell ref="B191:C191"/>
    <mergeCell ref="D191:E191"/>
    <mergeCell ref="F191:G191"/>
    <mergeCell ref="B184:C184"/>
    <mergeCell ref="D184:E184"/>
    <mergeCell ref="F184:G184"/>
    <mergeCell ref="B185:C185"/>
    <mergeCell ref="D185:E185"/>
    <mergeCell ref="F185:G185"/>
    <mergeCell ref="A178:G178"/>
    <mergeCell ref="B182:C182"/>
    <mergeCell ref="D182:E182"/>
    <mergeCell ref="F182:G182"/>
    <mergeCell ref="B183:C183"/>
    <mergeCell ref="D183:E183"/>
    <mergeCell ref="F183:G183"/>
    <mergeCell ref="D174:E174"/>
    <mergeCell ref="F174:G174"/>
    <mergeCell ref="D175:E175"/>
    <mergeCell ref="F175:G175"/>
    <mergeCell ref="D176:E176"/>
    <mergeCell ref="F176:G176"/>
    <mergeCell ref="B169:C169"/>
    <mergeCell ref="D169:E169"/>
    <mergeCell ref="F169:G169"/>
    <mergeCell ref="B170:C170"/>
    <mergeCell ref="D170:E170"/>
    <mergeCell ref="F170:G170"/>
    <mergeCell ref="C162:D162"/>
    <mergeCell ref="F162:G162"/>
    <mergeCell ref="A164:G164"/>
    <mergeCell ref="B168:C168"/>
    <mergeCell ref="D168:E168"/>
    <mergeCell ref="F168:G168"/>
    <mergeCell ref="C159:D159"/>
    <mergeCell ref="F159:G159"/>
    <mergeCell ref="C160:D160"/>
    <mergeCell ref="F160:G160"/>
    <mergeCell ref="C161:D161"/>
    <mergeCell ref="F161:G161"/>
    <mergeCell ref="A149:G149"/>
    <mergeCell ref="C153:D153"/>
    <mergeCell ref="F153:G153"/>
    <mergeCell ref="C154:D154"/>
    <mergeCell ref="F154:G154"/>
    <mergeCell ref="C155:D155"/>
    <mergeCell ref="F155:G155"/>
    <mergeCell ref="A141:G141"/>
    <mergeCell ref="C145:D145"/>
    <mergeCell ref="F145:G145"/>
    <mergeCell ref="C146:D146"/>
    <mergeCell ref="F146:G146"/>
    <mergeCell ref="C147:D147"/>
    <mergeCell ref="F147:G147"/>
    <mergeCell ref="A138:B138"/>
    <mergeCell ref="D138:E138"/>
    <mergeCell ref="F138:G138"/>
    <mergeCell ref="A139:B139"/>
    <mergeCell ref="D139:E139"/>
    <mergeCell ref="F139:G139"/>
    <mergeCell ref="C130:E130"/>
    <mergeCell ref="F130:G130"/>
    <mergeCell ref="C131:E131"/>
    <mergeCell ref="F131:G131"/>
    <mergeCell ref="A133:G133"/>
    <mergeCell ref="A137:B137"/>
    <mergeCell ref="D137:E137"/>
    <mergeCell ref="F137:G137"/>
    <mergeCell ref="C122:D122"/>
    <mergeCell ref="F122:G122"/>
    <mergeCell ref="C123:D123"/>
    <mergeCell ref="F123:G123"/>
    <mergeCell ref="A125:G125"/>
    <mergeCell ref="C129:E129"/>
    <mergeCell ref="F129:G129"/>
    <mergeCell ref="B115:C115"/>
    <mergeCell ref="D115:E115"/>
    <mergeCell ref="F115:G115"/>
    <mergeCell ref="A117:G117"/>
    <mergeCell ref="C121:D121"/>
    <mergeCell ref="F121:G121"/>
    <mergeCell ref="A109:G109"/>
    <mergeCell ref="B113:C113"/>
    <mergeCell ref="D113:E113"/>
    <mergeCell ref="F113:G113"/>
    <mergeCell ref="B114:C114"/>
    <mergeCell ref="D114:E114"/>
    <mergeCell ref="F114:G114"/>
    <mergeCell ref="A96:G96"/>
    <mergeCell ref="A98:G98"/>
    <mergeCell ref="A102:A104"/>
    <mergeCell ref="B102:B104"/>
    <mergeCell ref="C102:F102"/>
    <mergeCell ref="G102:G104"/>
    <mergeCell ref="C103:C104"/>
    <mergeCell ref="D103:F103"/>
    <mergeCell ref="B77:C77"/>
    <mergeCell ref="D77:E77"/>
    <mergeCell ref="F77:G77"/>
    <mergeCell ref="B78:C78"/>
    <mergeCell ref="D78:E78"/>
    <mergeCell ref="F78:G78"/>
    <mergeCell ref="B82:C82"/>
    <mergeCell ref="B64:C64"/>
    <mergeCell ref="D64:E64"/>
    <mergeCell ref="F64:G64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6:C76"/>
    <mergeCell ref="D76:E76"/>
    <mergeCell ref="F76:G76"/>
    <mergeCell ref="D82:E82"/>
    <mergeCell ref="F82:G82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83:C83"/>
    <mergeCell ref="D83:E83"/>
    <mergeCell ref="F83:G83"/>
    <mergeCell ref="B84:C84"/>
    <mergeCell ref="D84:E84"/>
    <mergeCell ref="F84:G84"/>
    <mergeCell ref="B19:C19"/>
    <mergeCell ref="D19:E19"/>
    <mergeCell ref="F19:G19"/>
    <mergeCell ref="B20:C20"/>
    <mergeCell ref="D20:E20"/>
    <mergeCell ref="F20:G20"/>
    <mergeCell ref="B26:C26"/>
    <mergeCell ref="D26:E26"/>
    <mergeCell ref="F26:G26"/>
    <mergeCell ref="B30:C30"/>
    <mergeCell ref="D30:E30"/>
    <mergeCell ref="F30:G30"/>
    <mergeCell ref="B25:C25"/>
    <mergeCell ref="D25:E25"/>
    <mergeCell ref="F25:G25"/>
    <mergeCell ref="A34:G34"/>
    <mergeCell ref="A38:C38"/>
    <mergeCell ref="D38:G38"/>
    <mergeCell ref="E1:G1"/>
    <mergeCell ref="A2:G2"/>
    <mergeCell ref="A4:G4"/>
    <mergeCell ref="A5:G5"/>
    <mergeCell ref="B9:C9"/>
    <mergeCell ref="D9:E9"/>
    <mergeCell ref="F9:G9"/>
    <mergeCell ref="A72:G72"/>
    <mergeCell ref="B12:C12"/>
    <mergeCell ref="D12:E12"/>
    <mergeCell ref="F12:G12"/>
    <mergeCell ref="A14:G14"/>
    <mergeCell ref="B18:C18"/>
    <mergeCell ref="D18:E18"/>
    <mergeCell ref="F18:G18"/>
    <mergeCell ref="B24:C24"/>
    <mergeCell ref="D24:E24"/>
    <mergeCell ref="F24:G24"/>
    <mergeCell ref="B10:C10"/>
    <mergeCell ref="D10:E10"/>
    <mergeCell ref="F10:G10"/>
    <mergeCell ref="B11:C11"/>
    <mergeCell ref="D11:E11"/>
    <mergeCell ref="F11:G11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16" max="16383" man="1"/>
    <brk id="148" max="16383" man="1"/>
    <brk id="176" max="16383" man="1"/>
    <brk id="208" max="16383" man="1"/>
    <brk id="257" max="16383" man="1"/>
    <brk id="297" max="16383" man="1"/>
    <brk id="343" max="16383" man="1"/>
    <brk id="39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117"/>
  <sheetViews>
    <sheetView showWhiteSpace="0" view="pageLayout" topLeftCell="A7" zoomScaleNormal="100" workbookViewId="0">
      <selection activeCell="E10" sqref="E10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5" width="18.5546875" style="5" customWidth="1"/>
    <col min="6" max="6" width="17.5546875" style="5" customWidth="1"/>
    <col min="7" max="16384" width="8.88671875" style="5"/>
  </cols>
  <sheetData>
    <row r="1" spans="1:6" ht="17.399999999999999" x14ac:dyDescent="0.3">
      <c r="A1" s="384" t="s">
        <v>255</v>
      </c>
      <c r="B1" s="384"/>
      <c r="C1" s="384"/>
      <c r="D1" s="384"/>
      <c r="E1" s="384"/>
      <c r="F1" s="384"/>
    </row>
    <row r="2" spans="1:6" ht="17.399999999999999" x14ac:dyDescent="0.3">
      <c r="A2" s="384" t="s">
        <v>470</v>
      </c>
      <c r="B2" s="384"/>
      <c r="C2" s="384"/>
      <c r="D2" s="384"/>
      <c r="E2" s="384"/>
      <c r="F2" s="384"/>
    </row>
    <row r="3" spans="1:6" ht="15" x14ac:dyDescent="0.3">
      <c r="A3" s="28"/>
    </row>
    <row r="4" spans="1:6" ht="18" x14ac:dyDescent="0.3">
      <c r="A4" s="4"/>
      <c r="F4" s="4" t="s">
        <v>51</v>
      </c>
    </row>
    <row r="5" spans="1:6" ht="52.95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196</v>
      </c>
      <c r="F5" s="404"/>
    </row>
    <row r="6" spans="1:6" ht="15.6" x14ac:dyDescent="0.3">
      <c r="A6" s="405"/>
      <c r="B6" s="404"/>
      <c r="C6" s="406"/>
      <c r="D6" s="404"/>
      <c r="E6" s="404" t="s">
        <v>6</v>
      </c>
      <c r="F6" s="404"/>
    </row>
    <row r="7" spans="1:6" ht="202.8" x14ac:dyDescent="0.3">
      <c r="A7" s="405"/>
      <c r="B7" s="404"/>
      <c r="C7" s="406"/>
      <c r="D7" s="404"/>
      <c r="E7" s="163" t="s">
        <v>197</v>
      </c>
      <c r="F7" s="163" t="s">
        <v>198</v>
      </c>
    </row>
    <row r="8" spans="1:6" x14ac:dyDescent="0.3">
      <c r="A8" s="184">
        <v>1</v>
      </c>
      <c r="B8" s="184">
        <v>2</v>
      </c>
      <c r="C8" s="184">
        <v>3</v>
      </c>
      <c r="D8" s="184">
        <v>4</v>
      </c>
      <c r="E8" s="184">
        <v>5</v>
      </c>
      <c r="F8" s="184">
        <v>6</v>
      </c>
    </row>
    <row r="9" spans="1:6" ht="108" x14ac:dyDescent="0.3">
      <c r="A9" s="11" t="s">
        <v>69</v>
      </c>
      <c r="B9" s="156" t="s">
        <v>5</v>
      </c>
      <c r="C9" s="156" t="s">
        <v>5</v>
      </c>
      <c r="D9" s="3">
        <f>E9+F9</f>
        <v>5713499.8399999999</v>
      </c>
      <c r="E9" s="1">
        <v>5713499.8399999999</v>
      </c>
      <c r="F9" s="1"/>
    </row>
    <row r="10" spans="1:6" ht="18" x14ac:dyDescent="0.3">
      <c r="A10" s="11" t="s">
        <v>7</v>
      </c>
      <c r="B10" s="156" t="s">
        <v>5</v>
      </c>
      <c r="C10" s="156">
        <v>900</v>
      </c>
      <c r="D10" s="3">
        <f>E10+F10</f>
        <v>5713499.8399999999</v>
      </c>
      <c r="E10" s="1">
        <f>E13+E45+E60+E92</f>
        <v>5713499.8399999999</v>
      </c>
      <c r="F10" s="1">
        <f>F13+F45</f>
        <v>0</v>
      </c>
    </row>
    <row r="11" spans="1:6" ht="18" x14ac:dyDescent="0.3">
      <c r="A11" s="11" t="s">
        <v>6</v>
      </c>
      <c r="B11" s="156"/>
      <c r="C11" s="156"/>
      <c r="D11" s="3"/>
      <c r="E11" s="1"/>
      <c r="F11" s="1"/>
    </row>
    <row r="12" spans="1:6" ht="33.6" customHeight="1" x14ac:dyDescent="0.3">
      <c r="A12" s="403" t="s">
        <v>199</v>
      </c>
      <c r="B12" s="403"/>
      <c r="C12" s="403"/>
      <c r="D12" s="403"/>
      <c r="E12" s="403"/>
      <c r="F12" s="403"/>
    </row>
    <row r="13" spans="1:6" ht="18" x14ac:dyDescent="0.3">
      <c r="A13" s="11" t="s">
        <v>8</v>
      </c>
      <c r="B13" s="156" t="s">
        <v>5</v>
      </c>
      <c r="C13" s="156">
        <v>200</v>
      </c>
      <c r="D13" s="3">
        <f t="shared" ref="D13:D49" si="0">E13+F13</f>
        <v>0</v>
      </c>
      <c r="E13" s="1">
        <f>E15+E18+E41</f>
        <v>0</v>
      </c>
      <c r="F13" s="1">
        <f>F15+F18+F41</f>
        <v>0</v>
      </c>
    </row>
    <row r="14" spans="1:6" ht="14.4" customHeight="1" x14ac:dyDescent="0.3">
      <c r="A14" s="11" t="s">
        <v>9</v>
      </c>
      <c r="B14" s="156"/>
      <c r="C14" s="156"/>
      <c r="D14" s="3"/>
      <c r="E14" s="1"/>
      <c r="F14" s="1"/>
    </row>
    <row r="15" spans="1:6" ht="78" customHeight="1" x14ac:dyDescent="0.3">
      <c r="A15" s="11" t="s">
        <v>10</v>
      </c>
      <c r="B15" s="156" t="s">
        <v>5</v>
      </c>
      <c r="C15" s="156">
        <v>210</v>
      </c>
      <c r="D15" s="3">
        <f t="shared" si="0"/>
        <v>0</v>
      </c>
      <c r="E15" s="1">
        <f>E17</f>
        <v>0</v>
      </c>
      <c r="F15" s="1">
        <f>F17</f>
        <v>0</v>
      </c>
    </row>
    <row r="16" spans="1:6" ht="18" x14ac:dyDescent="0.3">
      <c r="A16" s="11" t="s">
        <v>9</v>
      </c>
      <c r="B16" s="156"/>
      <c r="C16" s="156"/>
      <c r="D16" s="3"/>
      <c r="E16" s="1"/>
      <c r="F16" s="1"/>
    </row>
    <row r="17" spans="1:6" ht="72" x14ac:dyDescent="0.3">
      <c r="A17" s="11" t="s">
        <v>200</v>
      </c>
      <c r="B17" s="156">
        <v>244</v>
      </c>
      <c r="C17" s="156">
        <v>214</v>
      </c>
      <c r="D17" s="3">
        <f>E17+F17</f>
        <v>0</v>
      </c>
      <c r="E17" s="1">
        <f>'гос.зад на 2022 год '!E126</f>
        <v>0</v>
      </c>
      <c r="F17" s="1"/>
    </row>
    <row r="18" spans="1:6" ht="36" x14ac:dyDescent="0.3">
      <c r="A18" s="11" t="s">
        <v>14</v>
      </c>
      <c r="B18" s="156" t="s">
        <v>5</v>
      </c>
      <c r="C18" s="156">
        <v>220</v>
      </c>
      <c r="D18" s="3">
        <f t="shared" si="0"/>
        <v>0</v>
      </c>
      <c r="E18" s="1">
        <f>E20+E21+E22+E32+E33+E36+E39</f>
        <v>0</v>
      </c>
      <c r="F18" s="1">
        <f>F20+F21+F22+F32+F33+F36+F39</f>
        <v>0</v>
      </c>
    </row>
    <row r="19" spans="1:6" ht="18" x14ac:dyDescent="0.3">
      <c r="A19" s="11" t="s">
        <v>9</v>
      </c>
      <c r="B19" s="156"/>
      <c r="C19" s="156"/>
      <c r="D19" s="3"/>
      <c r="E19" s="1"/>
      <c r="F19" s="1"/>
    </row>
    <row r="20" spans="1:6" ht="18" x14ac:dyDescent="0.3">
      <c r="A20" s="11" t="s">
        <v>15</v>
      </c>
      <c r="B20" s="156">
        <v>244</v>
      </c>
      <c r="C20" s="156">
        <v>221</v>
      </c>
      <c r="D20" s="3">
        <f t="shared" si="0"/>
        <v>0</v>
      </c>
      <c r="E20" s="1">
        <f>'гос.зад на 2022 год '!E129</f>
        <v>0</v>
      </c>
      <c r="F20" s="1"/>
    </row>
    <row r="21" spans="1:6" ht="36" x14ac:dyDescent="0.3">
      <c r="A21" s="11" t="s">
        <v>16</v>
      </c>
      <c r="B21" s="156">
        <v>244</v>
      </c>
      <c r="C21" s="156">
        <v>222</v>
      </c>
      <c r="D21" s="3">
        <f t="shared" si="0"/>
        <v>0</v>
      </c>
      <c r="E21" s="1">
        <f>'гос.зад на 2022 год '!E130</f>
        <v>0</v>
      </c>
      <c r="F21" s="1"/>
    </row>
    <row r="22" spans="1:6" ht="36" x14ac:dyDescent="0.3">
      <c r="A22" s="11" t="s">
        <v>17</v>
      </c>
      <c r="B22" s="156" t="s">
        <v>5</v>
      </c>
      <c r="C22" s="156">
        <v>223</v>
      </c>
      <c r="D22" s="3">
        <f t="shared" si="0"/>
        <v>0</v>
      </c>
      <c r="E22" s="1">
        <f>E27+E28+E29+E30+E31</f>
        <v>0</v>
      </c>
      <c r="F22" s="1">
        <f>F27+F28+F29+F30+F31</f>
        <v>0</v>
      </c>
    </row>
    <row r="23" spans="1:6" ht="18" x14ac:dyDescent="0.3">
      <c r="A23" s="11" t="s">
        <v>6</v>
      </c>
      <c r="B23" s="156"/>
      <c r="C23" s="156"/>
      <c r="D23" s="3"/>
      <c r="E23" s="1"/>
      <c r="F23" s="1"/>
    </row>
    <row r="24" spans="1:6" ht="54" x14ac:dyDescent="0.3">
      <c r="A24" s="261" t="s">
        <v>18</v>
      </c>
      <c r="B24" s="262">
        <v>244</v>
      </c>
      <c r="C24" s="262">
        <v>223</v>
      </c>
      <c r="D24" s="3"/>
      <c r="E24" s="1"/>
      <c r="F24" s="1"/>
    </row>
    <row r="25" spans="1:6" ht="36" x14ac:dyDescent="0.3">
      <c r="A25" s="316" t="s">
        <v>19</v>
      </c>
      <c r="B25" s="317">
        <v>244</v>
      </c>
      <c r="C25" s="317">
        <v>223</v>
      </c>
      <c r="D25" s="3"/>
      <c r="E25" s="1"/>
      <c r="F25" s="1"/>
    </row>
    <row r="26" spans="1:6" ht="54" x14ac:dyDescent="0.3">
      <c r="A26" s="316" t="s">
        <v>20</v>
      </c>
      <c r="B26" s="317">
        <v>244</v>
      </c>
      <c r="C26" s="317">
        <v>223</v>
      </c>
      <c r="D26" s="3"/>
      <c r="E26" s="1"/>
      <c r="F26" s="1"/>
    </row>
    <row r="27" spans="1:6" ht="54" x14ac:dyDescent="0.3">
      <c r="A27" s="11" t="s">
        <v>18</v>
      </c>
      <c r="B27" s="156">
        <v>247</v>
      </c>
      <c r="C27" s="156">
        <v>223</v>
      </c>
      <c r="D27" s="3">
        <f t="shared" si="0"/>
        <v>0</v>
      </c>
      <c r="E27" s="1">
        <f>'гос.зад на 2022 год '!E133</f>
        <v>0</v>
      </c>
      <c r="F27" s="1"/>
    </row>
    <row r="28" spans="1:6" ht="36" x14ac:dyDescent="0.3">
      <c r="A28" s="11" t="s">
        <v>19</v>
      </c>
      <c r="B28" s="156">
        <v>247</v>
      </c>
      <c r="C28" s="156">
        <v>223</v>
      </c>
      <c r="D28" s="3">
        <f t="shared" si="0"/>
        <v>0</v>
      </c>
      <c r="E28" s="1">
        <f>'гос.зад на 2022 год '!E134</f>
        <v>0</v>
      </c>
      <c r="F28" s="1"/>
    </row>
    <row r="29" spans="1:6" ht="75.599999999999994" customHeight="1" x14ac:dyDescent="0.3">
      <c r="A29" s="11" t="s">
        <v>20</v>
      </c>
      <c r="B29" s="156">
        <v>247</v>
      </c>
      <c r="C29" s="156">
        <v>223</v>
      </c>
      <c r="D29" s="3">
        <f t="shared" si="0"/>
        <v>0</v>
      </c>
      <c r="E29" s="1">
        <f>'гос.зад на 2022 год '!E135</f>
        <v>0</v>
      </c>
      <c r="F29" s="1"/>
    </row>
    <row r="30" spans="1:6" ht="72" x14ac:dyDescent="0.3">
      <c r="A30" s="11" t="s">
        <v>21</v>
      </c>
      <c r="B30" s="156">
        <v>244</v>
      </c>
      <c r="C30" s="156">
        <v>223</v>
      </c>
      <c r="D30" s="3">
        <f t="shared" si="0"/>
        <v>0</v>
      </c>
      <c r="E30" s="1">
        <f>'гос.зад на 2022 год '!E136</f>
        <v>0</v>
      </c>
      <c r="F30" s="1"/>
    </row>
    <row r="31" spans="1:6" ht="54" x14ac:dyDescent="0.3">
      <c r="A31" s="11" t="s">
        <v>22</v>
      </c>
      <c r="B31" s="156">
        <v>244</v>
      </c>
      <c r="C31" s="156">
        <v>223</v>
      </c>
      <c r="D31" s="3">
        <f t="shared" si="0"/>
        <v>0</v>
      </c>
      <c r="E31" s="1">
        <f>'гос.зад на 2022 год '!E137</f>
        <v>0</v>
      </c>
      <c r="F31" s="1"/>
    </row>
    <row r="32" spans="1:6" ht="142.19999999999999" customHeight="1" x14ac:dyDescent="0.3">
      <c r="A32" s="11" t="s">
        <v>23</v>
      </c>
      <c r="B32" s="156">
        <v>244</v>
      </c>
      <c r="C32" s="156">
        <v>224</v>
      </c>
      <c r="D32" s="3">
        <f t="shared" si="0"/>
        <v>0</v>
      </c>
      <c r="E32" s="1">
        <f>'гос.зад на 2022 год '!E138</f>
        <v>0</v>
      </c>
      <c r="F32" s="1"/>
    </row>
    <row r="33" spans="1:6" ht="54" x14ac:dyDescent="0.3">
      <c r="A33" s="11" t="s">
        <v>24</v>
      </c>
      <c r="B33" s="156" t="s">
        <v>5</v>
      </c>
      <c r="C33" s="156">
        <v>225</v>
      </c>
      <c r="D33" s="1">
        <f>D34+D35</f>
        <v>0</v>
      </c>
      <c r="E33" s="1">
        <f>E34+E35</f>
        <v>0</v>
      </c>
      <c r="F33" s="1">
        <f>F34+F35</f>
        <v>0</v>
      </c>
    </row>
    <row r="34" spans="1:6" ht="18" x14ac:dyDescent="0.3">
      <c r="A34" s="407" t="s">
        <v>6</v>
      </c>
      <c r="B34" s="156">
        <v>243</v>
      </c>
      <c r="C34" s="156">
        <v>225</v>
      </c>
      <c r="D34" s="3">
        <f t="shared" si="0"/>
        <v>0</v>
      </c>
      <c r="E34" s="1">
        <f>'гос.зад на 2022 год '!E140</f>
        <v>0</v>
      </c>
      <c r="F34" s="1"/>
    </row>
    <row r="35" spans="1:6" ht="18" x14ac:dyDescent="0.3">
      <c r="A35" s="407"/>
      <c r="B35" s="156">
        <v>244</v>
      </c>
      <c r="C35" s="156">
        <v>225</v>
      </c>
      <c r="D35" s="3">
        <f t="shared" si="0"/>
        <v>0</v>
      </c>
      <c r="E35" s="1">
        <f>'гос.зад на 2022 год '!E141</f>
        <v>0</v>
      </c>
      <c r="F35" s="1"/>
    </row>
    <row r="36" spans="1:6" ht="36" x14ac:dyDescent="0.3">
      <c r="A36" s="11" t="s">
        <v>58</v>
      </c>
      <c r="B36" s="156" t="s">
        <v>5</v>
      </c>
      <c r="C36" s="156">
        <v>226</v>
      </c>
      <c r="D36" s="3">
        <f t="shared" si="0"/>
        <v>0</v>
      </c>
      <c r="E36" s="1">
        <f>E37+E38</f>
        <v>0</v>
      </c>
      <c r="F36" s="1">
        <f>F37+F38</f>
        <v>0</v>
      </c>
    </row>
    <row r="37" spans="1:6" ht="18" x14ac:dyDescent="0.3">
      <c r="A37" s="407" t="s">
        <v>6</v>
      </c>
      <c r="B37" s="156">
        <v>243</v>
      </c>
      <c r="C37" s="156">
        <v>226</v>
      </c>
      <c r="D37" s="3">
        <f t="shared" si="0"/>
        <v>0</v>
      </c>
      <c r="E37" s="1">
        <f>'гос.зад на 2022 год '!E143</f>
        <v>0</v>
      </c>
      <c r="F37" s="1"/>
    </row>
    <row r="38" spans="1:6" ht="18" x14ac:dyDescent="0.3">
      <c r="A38" s="407"/>
      <c r="B38" s="156">
        <v>244</v>
      </c>
      <c r="C38" s="156">
        <v>226</v>
      </c>
      <c r="D38" s="3">
        <f t="shared" si="0"/>
        <v>0</v>
      </c>
      <c r="E38" s="1">
        <f>'гос.зад на 2022 год '!E144</f>
        <v>0</v>
      </c>
      <c r="F38" s="1"/>
    </row>
    <row r="39" spans="1:6" ht="18" x14ac:dyDescent="0.3">
      <c r="A39" s="11" t="s">
        <v>25</v>
      </c>
      <c r="B39" s="156">
        <v>244</v>
      </c>
      <c r="C39" s="156">
        <v>227</v>
      </c>
      <c r="D39" s="3">
        <f t="shared" si="0"/>
        <v>0</v>
      </c>
      <c r="E39" s="1">
        <f>'гос.зад на 2022 год '!E145</f>
        <v>0</v>
      </c>
      <c r="F39" s="1"/>
    </row>
    <row r="40" spans="1:6" ht="54" x14ac:dyDescent="0.3">
      <c r="A40" s="261" t="s">
        <v>445</v>
      </c>
      <c r="B40" s="262">
        <v>244</v>
      </c>
      <c r="C40" s="262">
        <v>228</v>
      </c>
      <c r="D40" s="3">
        <v>0</v>
      </c>
      <c r="E40" s="1">
        <v>0</v>
      </c>
      <c r="F40" s="1"/>
    </row>
    <row r="41" spans="1:6" ht="18" x14ac:dyDescent="0.3">
      <c r="A41" s="11" t="s">
        <v>30</v>
      </c>
      <c r="B41" s="156" t="s">
        <v>5</v>
      </c>
      <c r="C41" s="156">
        <v>290</v>
      </c>
      <c r="D41" s="3">
        <f t="shared" si="0"/>
        <v>0</v>
      </c>
      <c r="E41" s="1">
        <f>E43+E44</f>
        <v>0</v>
      </c>
      <c r="F41" s="1">
        <f>F43+F44</f>
        <v>0</v>
      </c>
    </row>
    <row r="42" spans="1:6" ht="18" x14ac:dyDescent="0.3">
      <c r="A42" s="11" t="s">
        <v>9</v>
      </c>
      <c r="B42" s="156"/>
      <c r="C42" s="156"/>
      <c r="D42" s="3">
        <f t="shared" si="0"/>
        <v>0</v>
      </c>
      <c r="E42" s="1"/>
      <c r="F42" s="1"/>
    </row>
    <row r="43" spans="1:6" ht="54" x14ac:dyDescent="0.3">
      <c r="A43" s="11" t="s">
        <v>34</v>
      </c>
      <c r="B43" s="156">
        <v>244</v>
      </c>
      <c r="C43" s="156">
        <v>296</v>
      </c>
      <c r="D43" s="3">
        <f t="shared" si="0"/>
        <v>0</v>
      </c>
      <c r="E43" s="1">
        <f>'гос.зад на 2022 год '!E148</f>
        <v>0</v>
      </c>
      <c r="F43" s="1"/>
    </row>
    <row r="44" spans="1:6" ht="54" x14ac:dyDescent="0.3">
      <c r="A44" s="11" t="s">
        <v>35</v>
      </c>
      <c r="B44" s="156">
        <v>244</v>
      </c>
      <c r="C44" s="156">
        <v>297</v>
      </c>
      <c r="D44" s="3">
        <f t="shared" si="0"/>
        <v>0</v>
      </c>
      <c r="E44" s="1">
        <f>'гос.зад на 2022 год '!E149</f>
        <v>0</v>
      </c>
      <c r="F44" s="1"/>
    </row>
    <row r="45" spans="1:6" ht="54" x14ac:dyDescent="0.3">
      <c r="A45" s="11" t="s">
        <v>59</v>
      </c>
      <c r="B45" s="156" t="s">
        <v>5</v>
      </c>
      <c r="C45" s="156">
        <v>300</v>
      </c>
      <c r="D45" s="3">
        <f t="shared" si="0"/>
        <v>0</v>
      </c>
      <c r="E45" s="1">
        <f>E47+E49+E48</f>
        <v>0</v>
      </c>
      <c r="F45" s="1">
        <f>F47+F49+F48</f>
        <v>0</v>
      </c>
    </row>
    <row r="46" spans="1:6" ht="18" x14ac:dyDescent="0.3">
      <c r="A46" s="11" t="s">
        <v>9</v>
      </c>
      <c r="B46" s="156"/>
      <c r="C46" s="156"/>
      <c r="D46" s="3"/>
      <c r="E46" s="1"/>
      <c r="F46" s="1"/>
    </row>
    <row r="47" spans="1:6" ht="66.599999999999994" customHeight="1" x14ac:dyDescent="0.3">
      <c r="A47" s="11" t="s">
        <v>36</v>
      </c>
      <c r="B47" s="156">
        <v>244</v>
      </c>
      <c r="C47" s="156">
        <v>310</v>
      </c>
      <c r="D47" s="3">
        <f t="shared" si="0"/>
        <v>0</v>
      </c>
      <c r="E47" s="1">
        <f>'гос.зад на 2022 год '!E152</f>
        <v>0</v>
      </c>
      <c r="F47" s="1"/>
    </row>
    <row r="48" spans="1:6" ht="72" x14ac:dyDescent="0.3">
      <c r="A48" s="11" t="s">
        <v>68</v>
      </c>
      <c r="B48" s="156">
        <v>244</v>
      </c>
      <c r="C48" s="156">
        <v>320</v>
      </c>
      <c r="D48" s="3">
        <f t="shared" si="0"/>
        <v>0</v>
      </c>
      <c r="E48" s="1">
        <f>'гос.зад на 2022 год '!E153</f>
        <v>0</v>
      </c>
      <c r="F48" s="1"/>
    </row>
    <row r="49" spans="1:6" ht="72" x14ac:dyDescent="0.3">
      <c r="A49" s="11" t="s">
        <v>60</v>
      </c>
      <c r="B49" s="156" t="s">
        <v>5</v>
      </c>
      <c r="C49" s="156">
        <v>340</v>
      </c>
      <c r="D49" s="3">
        <f t="shared" si="0"/>
        <v>0</v>
      </c>
      <c r="E49" s="1">
        <f>E51+E52+E53+E54+E55+E56+E58</f>
        <v>0</v>
      </c>
      <c r="F49" s="1">
        <f>F51+F52+F53+F54+F55+F56+F58</f>
        <v>0</v>
      </c>
    </row>
    <row r="50" spans="1:6" ht="18" x14ac:dyDescent="0.3">
      <c r="A50" s="11" t="s">
        <v>6</v>
      </c>
      <c r="B50" s="156"/>
      <c r="C50" s="156"/>
      <c r="D50" s="3"/>
      <c r="E50" s="1"/>
      <c r="F50" s="1"/>
    </row>
    <row r="51" spans="1:6" ht="126" x14ac:dyDescent="0.3">
      <c r="A51" s="11" t="s">
        <v>37</v>
      </c>
      <c r="B51" s="156">
        <v>244</v>
      </c>
      <c r="C51" s="156">
        <v>341</v>
      </c>
      <c r="D51" s="3">
        <f t="shared" ref="D51:D58" si="1">E51+F51</f>
        <v>0</v>
      </c>
      <c r="E51" s="1">
        <f>'гос.зад на 2022 год '!E156</f>
        <v>0</v>
      </c>
      <c r="F51" s="1"/>
    </row>
    <row r="52" spans="1:6" ht="54" x14ac:dyDescent="0.3">
      <c r="A52" s="11" t="s">
        <v>38</v>
      </c>
      <c r="B52" s="156">
        <v>244</v>
      </c>
      <c r="C52" s="156">
        <v>342</v>
      </c>
      <c r="D52" s="3">
        <f t="shared" si="1"/>
        <v>0</v>
      </c>
      <c r="E52" s="1">
        <f>'гос.зад на 2022 год '!E157</f>
        <v>0</v>
      </c>
      <c r="F52" s="1"/>
    </row>
    <row r="53" spans="1:6" ht="72" x14ac:dyDescent="0.3">
      <c r="A53" s="11" t="s">
        <v>39</v>
      </c>
      <c r="B53" s="156">
        <v>244</v>
      </c>
      <c r="C53" s="156">
        <v>343</v>
      </c>
      <c r="D53" s="3">
        <f t="shared" si="1"/>
        <v>0</v>
      </c>
      <c r="E53" s="1">
        <f>'гос.зад на 2022 год '!E158</f>
        <v>0</v>
      </c>
      <c r="F53" s="1"/>
    </row>
    <row r="54" spans="1:6" ht="72" x14ac:dyDescent="0.3">
      <c r="A54" s="11" t="s">
        <v>40</v>
      </c>
      <c r="B54" s="156">
        <v>244</v>
      </c>
      <c r="C54" s="156">
        <v>344</v>
      </c>
      <c r="D54" s="3">
        <f t="shared" si="1"/>
        <v>0</v>
      </c>
      <c r="E54" s="1">
        <f>'гос.зад на 2022 год '!E159</f>
        <v>0</v>
      </c>
      <c r="F54" s="1"/>
    </row>
    <row r="55" spans="1:6" ht="54" x14ac:dyDescent="0.3">
      <c r="A55" s="11" t="s">
        <v>41</v>
      </c>
      <c r="B55" s="156">
        <v>244</v>
      </c>
      <c r="C55" s="156">
        <v>345</v>
      </c>
      <c r="D55" s="3">
        <f t="shared" si="1"/>
        <v>0</v>
      </c>
      <c r="E55" s="1">
        <f>'гос.зад на 2022 год '!E160</f>
        <v>0</v>
      </c>
      <c r="F55" s="1"/>
    </row>
    <row r="56" spans="1:6" ht="72" x14ac:dyDescent="0.3">
      <c r="A56" s="11" t="s">
        <v>42</v>
      </c>
      <c r="B56" s="156">
        <v>244</v>
      </c>
      <c r="C56" s="156">
        <v>346</v>
      </c>
      <c r="D56" s="3">
        <f t="shared" si="1"/>
        <v>0</v>
      </c>
      <c r="E56" s="1">
        <f>'гос.зад на 2022 год '!E161</f>
        <v>0</v>
      </c>
      <c r="F56" s="1"/>
    </row>
    <row r="57" spans="1:6" ht="108" x14ac:dyDescent="0.3">
      <c r="A57" s="261" t="s">
        <v>446</v>
      </c>
      <c r="B57" s="262">
        <v>244</v>
      </c>
      <c r="C57" s="262">
        <v>347</v>
      </c>
      <c r="D57" s="3">
        <v>0</v>
      </c>
      <c r="E57" s="1">
        <v>0</v>
      </c>
      <c r="F57" s="1"/>
    </row>
    <row r="58" spans="1:6" ht="108" x14ac:dyDescent="0.3">
      <c r="A58" s="11" t="s">
        <v>43</v>
      </c>
      <c r="B58" s="156">
        <v>244</v>
      </c>
      <c r="C58" s="156">
        <v>349</v>
      </c>
      <c r="D58" s="3">
        <f t="shared" si="1"/>
        <v>0</v>
      </c>
      <c r="E58" s="1">
        <f>'гос.зад на 2022 год '!E162</f>
        <v>0</v>
      </c>
      <c r="F58" s="1"/>
    </row>
    <row r="59" spans="1:6" ht="32.4" customHeight="1" x14ac:dyDescent="0.3">
      <c r="A59" s="403" t="s">
        <v>201</v>
      </c>
      <c r="B59" s="403"/>
      <c r="C59" s="403"/>
      <c r="D59" s="403"/>
      <c r="E59" s="403"/>
      <c r="F59" s="403"/>
    </row>
    <row r="60" spans="1:6" ht="18" x14ac:dyDescent="0.3">
      <c r="A60" s="11" t="s">
        <v>8</v>
      </c>
      <c r="B60" s="156" t="s">
        <v>5</v>
      </c>
      <c r="C60" s="156">
        <v>200</v>
      </c>
      <c r="D60" s="3">
        <f>E60+F60</f>
        <v>5235969.8999999994</v>
      </c>
      <c r="E60" s="1">
        <f>E62+E65+E88</f>
        <v>5235969.8999999994</v>
      </c>
      <c r="F60" s="1">
        <f>F62+F65+F88</f>
        <v>0</v>
      </c>
    </row>
    <row r="61" spans="1:6" ht="18" x14ac:dyDescent="0.3">
      <c r="A61" s="11" t="s">
        <v>9</v>
      </c>
      <c r="B61" s="156"/>
      <c r="C61" s="156"/>
      <c r="D61" s="3"/>
      <c r="E61" s="1"/>
      <c r="F61" s="1"/>
    </row>
    <row r="62" spans="1:6" ht="72" x14ac:dyDescent="0.3">
      <c r="A62" s="11" t="s">
        <v>10</v>
      </c>
      <c r="B62" s="156" t="s">
        <v>5</v>
      </c>
      <c r="C62" s="156">
        <v>210</v>
      </c>
      <c r="D62" s="3">
        <f>E62+F62</f>
        <v>0</v>
      </c>
      <c r="E62" s="1">
        <f>E64</f>
        <v>0</v>
      </c>
      <c r="F62" s="1">
        <f>F64</f>
        <v>0</v>
      </c>
    </row>
    <row r="63" spans="1:6" ht="18" x14ac:dyDescent="0.3">
      <c r="A63" s="11" t="s">
        <v>9</v>
      </c>
      <c r="B63" s="156"/>
      <c r="C63" s="156"/>
      <c r="D63" s="3"/>
      <c r="E63" s="1"/>
      <c r="F63" s="1"/>
    </row>
    <row r="64" spans="1:6" ht="60.6" customHeight="1" x14ac:dyDescent="0.3">
      <c r="A64" s="11" t="s">
        <v>200</v>
      </c>
      <c r="B64" s="156">
        <v>244</v>
      </c>
      <c r="C64" s="156">
        <v>214</v>
      </c>
      <c r="D64" s="3">
        <f>E64+F64</f>
        <v>0</v>
      </c>
      <c r="E64" s="1">
        <f>'гос.зад на 2022 год '!E168</f>
        <v>0</v>
      </c>
      <c r="F64" s="1"/>
    </row>
    <row r="65" spans="1:6" ht="36" x14ac:dyDescent="0.3">
      <c r="A65" s="11" t="s">
        <v>14</v>
      </c>
      <c r="B65" s="156" t="s">
        <v>5</v>
      </c>
      <c r="C65" s="156">
        <v>220</v>
      </c>
      <c r="D65" s="3">
        <f>E65+F65</f>
        <v>5235969.8999999994</v>
      </c>
      <c r="E65" s="1">
        <f>E67+E68+E69+E79+E80+E83+E86</f>
        <v>5235969.8999999994</v>
      </c>
      <c r="F65" s="1">
        <f>F67+F68+F69+F79+F80+F83+F86</f>
        <v>0</v>
      </c>
    </row>
    <row r="66" spans="1:6" ht="18" x14ac:dyDescent="0.3">
      <c r="A66" s="11" t="s">
        <v>9</v>
      </c>
      <c r="B66" s="156"/>
      <c r="C66" s="156"/>
      <c r="D66" s="3"/>
      <c r="E66" s="1"/>
      <c r="F66" s="1"/>
    </row>
    <row r="67" spans="1:6" ht="18" x14ac:dyDescent="0.3">
      <c r="A67" s="11" t="s">
        <v>15</v>
      </c>
      <c r="B67" s="156">
        <v>244</v>
      </c>
      <c r="C67" s="156">
        <v>221</v>
      </c>
      <c r="D67" s="3">
        <f>E67+F67</f>
        <v>90630</v>
      </c>
      <c r="E67" s="1">
        <f>'гос.зад на 2022 год '!E171</f>
        <v>90630</v>
      </c>
      <c r="F67" s="1"/>
    </row>
    <row r="68" spans="1:6" ht="36" x14ac:dyDescent="0.3">
      <c r="A68" s="11" t="s">
        <v>16</v>
      </c>
      <c r="B68" s="156">
        <v>244</v>
      </c>
      <c r="C68" s="156">
        <v>222</v>
      </c>
      <c r="D68" s="3">
        <f>E68+F68</f>
        <v>0</v>
      </c>
      <c r="E68" s="1">
        <f>'гос.зад на 2022 год '!E172</f>
        <v>0</v>
      </c>
      <c r="F68" s="1"/>
    </row>
    <row r="69" spans="1:6" ht="36" x14ac:dyDescent="0.3">
      <c r="A69" s="11" t="s">
        <v>17</v>
      </c>
      <c r="B69" s="156" t="s">
        <v>5</v>
      </c>
      <c r="C69" s="156">
        <v>223</v>
      </c>
      <c r="D69" s="3">
        <f>E69+F69</f>
        <v>3279914.08</v>
      </c>
      <c r="E69" s="1">
        <f>E74+E75+E76+E77+E78</f>
        <v>3279914.08</v>
      </c>
      <c r="F69" s="1">
        <f>F74+F75+F76+F77+F78</f>
        <v>0</v>
      </c>
    </row>
    <row r="70" spans="1:6" ht="18" x14ac:dyDescent="0.3">
      <c r="A70" s="11" t="s">
        <v>6</v>
      </c>
      <c r="B70" s="156"/>
      <c r="C70" s="156"/>
      <c r="D70" s="3"/>
      <c r="E70" s="1"/>
      <c r="F70" s="1"/>
    </row>
    <row r="71" spans="1:6" ht="54" x14ac:dyDescent="0.3">
      <c r="A71" s="261" t="s">
        <v>18</v>
      </c>
      <c r="B71" s="262">
        <v>244</v>
      </c>
      <c r="C71" s="262">
        <v>223</v>
      </c>
      <c r="D71" s="3"/>
      <c r="E71" s="1"/>
      <c r="F71" s="1"/>
    </row>
    <row r="72" spans="1:6" ht="36" x14ac:dyDescent="0.3">
      <c r="A72" s="316" t="s">
        <v>19</v>
      </c>
      <c r="B72" s="317">
        <v>244</v>
      </c>
      <c r="C72" s="317">
        <v>223</v>
      </c>
      <c r="D72" s="3"/>
      <c r="E72" s="1"/>
      <c r="F72" s="1"/>
    </row>
    <row r="73" spans="1:6" ht="54" x14ac:dyDescent="0.3">
      <c r="A73" s="316" t="s">
        <v>20</v>
      </c>
      <c r="B73" s="317">
        <v>244</v>
      </c>
      <c r="C73" s="317">
        <v>223</v>
      </c>
      <c r="D73" s="3"/>
      <c r="E73" s="1"/>
      <c r="F73" s="1"/>
    </row>
    <row r="74" spans="1:6" ht="54" x14ac:dyDescent="0.3">
      <c r="A74" s="11" t="s">
        <v>18</v>
      </c>
      <c r="B74" s="156">
        <v>247</v>
      </c>
      <c r="C74" s="156">
        <v>223</v>
      </c>
      <c r="D74" s="3">
        <f t="shared" ref="D74:D79" si="2">E74+F74</f>
        <v>2157705.56</v>
      </c>
      <c r="E74" s="1">
        <f>'гос.зад на 2022 год '!E175</f>
        <v>2157705.56</v>
      </c>
      <c r="F74" s="1"/>
    </row>
    <row r="75" spans="1:6" ht="36" x14ac:dyDescent="0.3">
      <c r="A75" s="11" t="s">
        <v>19</v>
      </c>
      <c r="B75" s="156">
        <v>247</v>
      </c>
      <c r="C75" s="156">
        <v>223</v>
      </c>
      <c r="D75" s="3">
        <f t="shared" si="2"/>
        <v>0</v>
      </c>
      <c r="E75" s="1">
        <f>'гос.зад на 2022 год '!E176</f>
        <v>0</v>
      </c>
      <c r="F75" s="1"/>
    </row>
    <row r="76" spans="1:6" ht="54" x14ac:dyDescent="0.3">
      <c r="A76" s="11" t="s">
        <v>20</v>
      </c>
      <c r="B76" s="156">
        <v>247</v>
      </c>
      <c r="C76" s="156">
        <v>223</v>
      </c>
      <c r="D76" s="3">
        <f t="shared" si="2"/>
        <v>686959.04</v>
      </c>
      <c r="E76" s="1">
        <f>'гос.зад на 2022 год '!E177</f>
        <v>686959.04</v>
      </c>
      <c r="F76" s="1"/>
    </row>
    <row r="77" spans="1:6" ht="72" x14ac:dyDescent="0.3">
      <c r="A77" s="11" t="s">
        <v>21</v>
      </c>
      <c r="B77" s="156">
        <v>244</v>
      </c>
      <c r="C77" s="156">
        <v>223</v>
      </c>
      <c r="D77" s="3">
        <f t="shared" si="2"/>
        <v>315010.20000000007</v>
      </c>
      <c r="E77" s="1">
        <f>'гос.зад на 2022 год '!E178</f>
        <v>315010.20000000007</v>
      </c>
      <c r="F77" s="1"/>
    </row>
    <row r="78" spans="1:6" ht="54" x14ac:dyDescent="0.3">
      <c r="A78" s="11" t="s">
        <v>22</v>
      </c>
      <c r="B78" s="156">
        <v>244</v>
      </c>
      <c r="C78" s="156">
        <v>223</v>
      </c>
      <c r="D78" s="3">
        <f t="shared" si="2"/>
        <v>120239.28000000001</v>
      </c>
      <c r="E78" s="1">
        <f>'гос.зад на 2022 год '!E179</f>
        <v>120239.28000000001</v>
      </c>
      <c r="F78" s="1"/>
    </row>
    <row r="79" spans="1:6" ht="171" customHeight="1" x14ac:dyDescent="0.3">
      <c r="A79" s="11" t="s">
        <v>23</v>
      </c>
      <c r="B79" s="156">
        <v>244</v>
      </c>
      <c r="C79" s="156">
        <v>224</v>
      </c>
      <c r="D79" s="3">
        <f t="shared" si="2"/>
        <v>0</v>
      </c>
      <c r="E79" s="1">
        <f>'гос.зад на 2022 год '!E180</f>
        <v>0</v>
      </c>
      <c r="F79" s="1"/>
    </row>
    <row r="80" spans="1:6" ht="54" x14ac:dyDescent="0.3">
      <c r="A80" s="11" t="s">
        <v>24</v>
      </c>
      <c r="B80" s="156" t="s">
        <v>5</v>
      </c>
      <c r="C80" s="156">
        <v>225</v>
      </c>
      <c r="D80" s="1">
        <f>D81+D82</f>
        <v>183571.76</v>
      </c>
      <c r="E80" s="1">
        <f>E81+E82</f>
        <v>183571.76</v>
      </c>
      <c r="F80" s="1">
        <f>F81+F82</f>
        <v>0</v>
      </c>
    </row>
    <row r="81" spans="1:6" ht="18" x14ac:dyDescent="0.3">
      <c r="A81" s="407" t="s">
        <v>6</v>
      </c>
      <c r="B81" s="156">
        <v>243</v>
      </c>
      <c r="C81" s="156">
        <v>225</v>
      </c>
      <c r="D81" s="3">
        <f t="shared" ref="D81:D92" si="3">E81+F81</f>
        <v>0</v>
      </c>
      <c r="E81" s="1">
        <f>'гос.зад на 2022 год '!E182</f>
        <v>0</v>
      </c>
      <c r="F81" s="1"/>
    </row>
    <row r="82" spans="1:6" ht="18" x14ac:dyDescent="0.3">
      <c r="A82" s="407"/>
      <c r="B82" s="156">
        <v>244</v>
      </c>
      <c r="C82" s="156">
        <v>225</v>
      </c>
      <c r="D82" s="3">
        <f t="shared" si="3"/>
        <v>183571.76</v>
      </c>
      <c r="E82" s="1">
        <f>'гос.зад на 2022 год '!E183</f>
        <v>183571.76</v>
      </c>
      <c r="F82" s="1"/>
    </row>
    <row r="83" spans="1:6" ht="36" x14ac:dyDescent="0.3">
      <c r="A83" s="11" t="s">
        <v>58</v>
      </c>
      <c r="B83" s="156" t="s">
        <v>5</v>
      </c>
      <c r="C83" s="156">
        <v>226</v>
      </c>
      <c r="D83" s="3">
        <f t="shared" si="3"/>
        <v>1661002.7999999998</v>
      </c>
      <c r="E83" s="1">
        <f>E84+E85</f>
        <v>1661002.7999999998</v>
      </c>
      <c r="F83" s="1">
        <f>F84+F85</f>
        <v>0</v>
      </c>
    </row>
    <row r="84" spans="1:6" ht="18" x14ac:dyDescent="0.3">
      <c r="A84" s="407" t="s">
        <v>6</v>
      </c>
      <c r="B84" s="156">
        <v>243</v>
      </c>
      <c r="C84" s="156">
        <v>226</v>
      </c>
      <c r="D84" s="3">
        <f t="shared" si="3"/>
        <v>0</v>
      </c>
      <c r="E84" s="1">
        <f>'гос.зад на 2022 год '!E185</f>
        <v>0</v>
      </c>
      <c r="F84" s="1"/>
    </row>
    <row r="85" spans="1:6" ht="18" x14ac:dyDescent="0.3">
      <c r="A85" s="407"/>
      <c r="B85" s="156">
        <v>244</v>
      </c>
      <c r="C85" s="156">
        <v>226</v>
      </c>
      <c r="D85" s="3">
        <f t="shared" si="3"/>
        <v>1661002.7999999998</v>
      </c>
      <c r="E85" s="1">
        <f>'гос.зад на 2022 год '!E186</f>
        <v>1661002.7999999998</v>
      </c>
      <c r="F85" s="1"/>
    </row>
    <row r="86" spans="1:6" ht="18" x14ac:dyDescent="0.3">
      <c r="A86" s="11" t="s">
        <v>25</v>
      </c>
      <c r="B86" s="156">
        <v>244</v>
      </c>
      <c r="C86" s="156">
        <v>227</v>
      </c>
      <c r="D86" s="3">
        <f t="shared" si="3"/>
        <v>20851.260000000002</v>
      </c>
      <c r="E86" s="1">
        <f>'гос.зад на 2022 год '!E187</f>
        <v>20851.260000000002</v>
      </c>
      <c r="F86" s="1"/>
    </row>
    <row r="87" spans="1:6" ht="54" x14ac:dyDescent="0.3">
      <c r="A87" s="261" t="s">
        <v>445</v>
      </c>
      <c r="B87" s="262">
        <v>244</v>
      </c>
      <c r="C87" s="262">
        <v>228</v>
      </c>
      <c r="D87" s="3">
        <v>0</v>
      </c>
      <c r="E87" s="1">
        <v>0</v>
      </c>
      <c r="F87" s="1"/>
    </row>
    <row r="88" spans="1:6" ht="18" x14ac:dyDescent="0.3">
      <c r="A88" s="11" t="s">
        <v>30</v>
      </c>
      <c r="B88" s="156" t="s">
        <v>5</v>
      </c>
      <c r="C88" s="156">
        <v>290</v>
      </c>
      <c r="D88" s="3">
        <f t="shared" si="3"/>
        <v>0</v>
      </c>
      <c r="E88" s="1">
        <f>E90+E91</f>
        <v>0</v>
      </c>
      <c r="F88" s="1">
        <f>F90+F91</f>
        <v>0</v>
      </c>
    </row>
    <row r="89" spans="1:6" ht="18" x14ac:dyDescent="0.3">
      <c r="A89" s="11" t="s">
        <v>9</v>
      </c>
      <c r="B89" s="156"/>
      <c r="C89" s="156"/>
      <c r="D89" s="3">
        <f t="shared" si="3"/>
        <v>0</v>
      </c>
      <c r="E89" s="1"/>
      <c r="F89" s="1"/>
    </row>
    <row r="90" spans="1:6" ht="54" x14ac:dyDescent="0.3">
      <c r="A90" s="11" t="s">
        <v>34</v>
      </c>
      <c r="B90" s="156">
        <v>244</v>
      </c>
      <c r="C90" s="156">
        <v>296</v>
      </c>
      <c r="D90" s="3">
        <f t="shared" si="3"/>
        <v>0</v>
      </c>
      <c r="E90" s="1">
        <f>'гос.зад на 2022 год '!E190</f>
        <v>0</v>
      </c>
      <c r="F90" s="1"/>
    </row>
    <row r="91" spans="1:6" ht="54" x14ac:dyDescent="0.3">
      <c r="A91" s="11" t="s">
        <v>35</v>
      </c>
      <c r="B91" s="156">
        <v>244</v>
      </c>
      <c r="C91" s="156">
        <v>297</v>
      </c>
      <c r="D91" s="3">
        <f t="shared" si="3"/>
        <v>0</v>
      </c>
      <c r="E91" s="1">
        <f>'гос.зад на 2022 год '!E191</f>
        <v>0</v>
      </c>
      <c r="F91" s="1"/>
    </row>
    <row r="92" spans="1:6" ht="54" x14ac:dyDescent="0.3">
      <c r="A92" s="11" t="s">
        <v>59</v>
      </c>
      <c r="B92" s="156" t="s">
        <v>5</v>
      </c>
      <c r="C92" s="156">
        <v>300</v>
      </c>
      <c r="D92" s="3">
        <f t="shared" si="3"/>
        <v>477529.94</v>
      </c>
      <c r="E92" s="1">
        <f>E94+E96+E95</f>
        <v>477529.94</v>
      </c>
      <c r="F92" s="1">
        <f>F94+F96+F95</f>
        <v>0</v>
      </c>
    </row>
    <row r="93" spans="1:6" ht="18" x14ac:dyDescent="0.3">
      <c r="A93" s="11" t="s">
        <v>9</v>
      </c>
      <c r="B93" s="156"/>
      <c r="C93" s="156"/>
      <c r="D93" s="3"/>
      <c r="E93" s="1"/>
      <c r="F93" s="1"/>
    </row>
    <row r="94" spans="1:6" ht="54" x14ac:dyDescent="0.3">
      <c r="A94" s="11" t="s">
        <v>36</v>
      </c>
      <c r="B94" s="156">
        <v>244</v>
      </c>
      <c r="C94" s="156">
        <v>310</v>
      </c>
      <c r="D94" s="3">
        <f>E94+F94</f>
        <v>0</v>
      </c>
      <c r="E94" s="1">
        <f>'гос.зад на 2022 год '!E194</f>
        <v>0</v>
      </c>
      <c r="F94" s="1"/>
    </row>
    <row r="95" spans="1:6" ht="72" x14ac:dyDescent="0.3">
      <c r="A95" s="11" t="s">
        <v>68</v>
      </c>
      <c r="B95" s="156">
        <v>244</v>
      </c>
      <c r="C95" s="156">
        <v>320</v>
      </c>
      <c r="D95" s="3">
        <f>E95+F95</f>
        <v>0</v>
      </c>
      <c r="E95" s="1">
        <f>'гос.зад на 2022 год '!E195</f>
        <v>0</v>
      </c>
      <c r="F95" s="1"/>
    </row>
    <row r="96" spans="1:6" ht="72" x14ac:dyDescent="0.3">
      <c r="A96" s="11" t="s">
        <v>60</v>
      </c>
      <c r="B96" s="156" t="s">
        <v>5</v>
      </c>
      <c r="C96" s="156">
        <v>340</v>
      </c>
      <c r="D96" s="3">
        <f>E96+F96</f>
        <v>477529.94</v>
      </c>
      <c r="E96" s="1">
        <f>E98+E99+E100+E101+E102+E103+E105</f>
        <v>477529.94</v>
      </c>
      <c r="F96" s="1">
        <f>F98+F99+F100+F101+F102+F103+F105</f>
        <v>0</v>
      </c>
    </row>
    <row r="97" spans="1:6" ht="18" x14ac:dyDescent="0.3">
      <c r="A97" s="11" t="s">
        <v>6</v>
      </c>
      <c r="B97" s="156"/>
      <c r="C97" s="156"/>
      <c r="D97" s="3"/>
      <c r="E97" s="1"/>
      <c r="F97" s="1"/>
    </row>
    <row r="98" spans="1:6" ht="108" customHeight="1" x14ac:dyDescent="0.3">
      <c r="A98" s="202" t="s">
        <v>37</v>
      </c>
      <c r="B98" s="156">
        <v>244</v>
      </c>
      <c r="C98" s="156">
        <v>341</v>
      </c>
      <c r="D98" s="3">
        <f t="shared" ref="D98:D106" si="4">E98+F98</f>
        <v>0</v>
      </c>
      <c r="E98" s="1">
        <f>'гос.зад на 2022 год '!E198</f>
        <v>0</v>
      </c>
      <c r="F98" s="1"/>
    </row>
    <row r="99" spans="1:6" ht="42.75" customHeight="1" x14ac:dyDescent="0.3">
      <c r="A99" s="202" t="s">
        <v>38</v>
      </c>
      <c r="B99" s="156">
        <v>244</v>
      </c>
      <c r="C99" s="156">
        <v>342</v>
      </c>
      <c r="D99" s="3">
        <f t="shared" si="4"/>
        <v>0</v>
      </c>
      <c r="E99" s="1">
        <f>'гос.зад на 2022 год '!E199</f>
        <v>0</v>
      </c>
      <c r="F99" s="1"/>
    </row>
    <row r="100" spans="1:6" ht="60.75" customHeight="1" x14ac:dyDescent="0.3">
      <c r="A100" s="202" t="s">
        <v>39</v>
      </c>
      <c r="B100" s="156">
        <v>244</v>
      </c>
      <c r="C100" s="156">
        <v>343</v>
      </c>
      <c r="D100" s="3">
        <f t="shared" si="4"/>
        <v>0</v>
      </c>
      <c r="E100" s="1">
        <f>'гос.зад на 2022 год '!E200</f>
        <v>0</v>
      </c>
      <c r="F100" s="1"/>
    </row>
    <row r="101" spans="1:6" ht="67.2" x14ac:dyDescent="0.3">
      <c r="A101" s="202" t="s">
        <v>40</v>
      </c>
      <c r="B101" s="156">
        <v>244</v>
      </c>
      <c r="C101" s="156">
        <v>344</v>
      </c>
      <c r="D101" s="3">
        <f t="shared" si="4"/>
        <v>0</v>
      </c>
      <c r="E101" s="1">
        <f>'гос.зад на 2022 год '!E201</f>
        <v>0</v>
      </c>
      <c r="F101" s="1"/>
    </row>
    <row r="102" spans="1:6" ht="50.4" x14ac:dyDescent="0.3">
      <c r="A102" s="202" t="s">
        <v>41</v>
      </c>
      <c r="B102" s="156">
        <v>244</v>
      </c>
      <c r="C102" s="156">
        <v>345</v>
      </c>
      <c r="D102" s="3">
        <f t="shared" si="4"/>
        <v>0</v>
      </c>
      <c r="E102" s="1">
        <f>'гос.зад на 2022 год '!E202</f>
        <v>0</v>
      </c>
      <c r="F102" s="1"/>
    </row>
    <row r="103" spans="1:6" ht="67.2" x14ac:dyDescent="0.3">
      <c r="A103" s="202" t="s">
        <v>42</v>
      </c>
      <c r="B103" s="156">
        <v>244</v>
      </c>
      <c r="C103" s="156">
        <v>346</v>
      </c>
      <c r="D103" s="3">
        <f t="shared" si="4"/>
        <v>477529.94</v>
      </c>
      <c r="E103" s="1">
        <f>'гос.зад на 2022 год '!E203</f>
        <v>477529.94</v>
      </c>
      <c r="F103" s="1"/>
    </row>
    <row r="104" spans="1:6" ht="100.8" x14ac:dyDescent="0.3">
      <c r="A104" s="271" t="s">
        <v>446</v>
      </c>
      <c r="B104" s="262">
        <v>244</v>
      </c>
      <c r="C104" s="262">
        <v>347</v>
      </c>
      <c r="D104" s="3">
        <v>0</v>
      </c>
      <c r="E104" s="1">
        <v>0</v>
      </c>
      <c r="F104" s="1"/>
    </row>
    <row r="105" spans="1:6" ht="77.25" customHeight="1" x14ac:dyDescent="0.3">
      <c r="A105" s="202" t="s">
        <v>43</v>
      </c>
      <c r="B105" s="156">
        <v>244</v>
      </c>
      <c r="C105" s="156">
        <v>349</v>
      </c>
      <c r="D105" s="3">
        <f t="shared" si="4"/>
        <v>0</v>
      </c>
      <c r="E105" s="1">
        <f>'гос.зад на 2022 год '!E204</f>
        <v>0</v>
      </c>
      <c r="F105" s="1"/>
    </row>
    <row r="106" spans="1:6" ht="87.75" customHeight="1" x14ac:dyDescent="0.3">
      <c r="A106" s="202" t="s">
        <v>43</v>
      </c>
      <c r="B106" s="156">
        <v>244</v>
      </c>
      <c r="C106" s="156">
        <v>349</v>
      </c>
      <c r="D106" s="3">
        <f t="shared" si="4"/>
        <v>0</v>
      </c>
      <c r="E106" s="1">
        <f>'гос.зад на 2022 год '!E205</f>
        <v>0</v>
      </c>
      <c r="F106" s="1"/>
    </row>
    <row r="107" spans="1:6" ht="13.5" customHeight="1" x14ac:dyDescent="0.3">
      <c r="A107" s="13"/>
      <c r="B107" s="17"/>
      <c r="C107" s="17"/>
      <c r="D107" s="34"/>
      <c r="E107" s="34"/>
      <c r="F107" s="34"/>
    </row>
    <row r="108" spans="1:6" ht="18" x14ac:dyDescent="0.35">
      <c r="A108" s="396" t="s">
        <v>52</v>
      </c>
      <c r="B108" s="396"/>
      <c r="C108" s="182"/>
      <c r="D108" s="154"/>
      <c r="E108" s="400" t="s">
        <v>267</v>
      </c>
      <c r="F108" s="400"/>
    </row>
    <row r="109" spans="1:6" ht="18" x14ac:dyDescent="0.35">
      <c r="A109" s="27"/>
      <c r="B109" s="174"/>
      <c r="C109" s="173"/>
      <c r="D109" s="173" t="s">
        <v>53</v>
      </c>
      <c r="E109" s="401" t="s">
        <v>54</v>
      </c>
      <c r="F109" s="401"/>
    </row>
    <row r="110" spans="1:6" ht="12.75" customHeight="1" x14ac:dyDescent="0.35">
      <c r="A110" s="27"/>
      <c r="B110" s="176"/>
      <c r="C110" s="8"/>
      <c r="D110" s="8"/>
      <c r="E110" s="8"/>
      <c r="F110" s="8"/>
    </row>
    <row r="111" spans="1:6" ht="18" x14ac:dyDescent="0.35">
      <c r="A111" s="396" t="s">
        <v>55</v>
      </c>
      <c r="B111" s="396"/>
      <c r="C111" s="182"/>
      <c r="D111" s="183"/>
      <c r="E111" s="400" t="s">
        <v>464</v>
      </c>
      <c r="F111" s="400"/>
    </row>
    <row r="112" spans="1:6" ht="18" x14ac:dyDescent="0.35">
      <c r="A112" s="27"/>
      <c r="B112" s="174"/>
      <c r="C112" s="173"/>
      <c r="D112" s="173" t="s">
        <v>53</v>
      </c>
      <c r="E112" s="401" t="s">
        <v>54</v>
      </c>
      <c r="F112" s="401"/>
    </row>
    <row r="113" spans="1:6" ht="10.5" customHeight="1" x14ac:dyDescent="0.35">
      <c r="A113" s="27"/>
      <c r="B113" s="175"/>
      <c r="C113" s="153"/>
      <c r="D113" s="8"/>
      <c r="E113" s="104"/>
      <c r="F113" s="104"/>
    </row>
    <row r="114" spans="1:6" ht="18" x14ac:dyDescent="0.35">
      <c r="A114" s="27" t="s">
        <v>56</v>
      </c>
      <c r="B114" s="174"/>
      <c r="C114" s="182"/>
      <c r="D114" s="183"/>
      <c r="E114" s="400" t="s">
        <v>268</v>
      </c>
      <c r="F114" s="400"/>
    </row>
    <row r="115" spans="1:6" ht="18" x14ac:dyDescent="0.35">
      <c r="A115" s="27"/>
      <c r="B115" s="174"/>
      <c r="C115" s="173"/>
      <c r="D115" s="173" t="s">
        <v>53</v>
      </c>
      <c r="E115" s="401" t="s">
        <v>54</v>
      </c>
      <c r="F115" s="401"/>
    </row>
    <row r="116" spans="1:6" ht="18" x14ac:dyDescent="0.35">
      <c r="A116" s="27" t="s">
        <v>428</v>
      </c>
      <c r="B116" s="8"/>
      <c r="C116" s="8"/>
      <c r="D116" s="8"/>
      <c r="E116" s="8"/>
      <c r="F116" s="8"/>
    </row>
    <row r="117" spans="1:6" ht="18" x14ac:dyDescent="0.35">
      <c r="A117" s="396" t="s">
        <v>483</v>
      </c>
      <c r="B117" s="396"/>
      <c r="C117" s="8"/>
      <c r="D117" s="8"/>
      <c r="E117" s="8"/>
      <c r="F117" s="8"/>
    </row>
  </sheetData>
  <mergeCells count="23">
    <mergeCell ref="A117:B117"/>
    <mergeCell ref="E112:F112"/>
    <mergeCell ref="E114:F114"/>
    <mergeCell ref="E115:F115"/>
    <mergeCell ref="E108:F108"/>
    <mergeCell ref="E109:F109"/>
    <mergeCell ref="E111:F111"/>
    <mergeCell ref="A108:B108"/>
    <mergeCell ref="A111:B111"/>
    <mergeCell ref="A59:F59"/>
    <mergeCell ref="A81:A82"/>
    <mergeCell ref="A84:A85"/>
    <mergeCell ref="A34:A35"/>
    <mergeCell ref="A37:A38"/>
    <mergeCell ref="A12:F12"/>
    <mergeCell ref="E5:F5"/>
    <mergeCell ref="B5:B7"/>
    <mergeCell ref="A1:F1"/>
    <mergeCell ref="A2:F2"/>
    <mergeCell ref="A5:A7"/>
    <mergeCell ref="C5:C7"/>
    <mergeCell ref="D5:D7"/>
    <mergeCell ref="E6:F6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317"/>
  <sheetViews>
    <sheetView view="pageLayout" topLeftCell="A285" zoomScaleNormal="85" workbookViewId="0">
      <selection activeCell="E284" sqref="E284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6" width="16.44140625" style="5" customWidth="1"/>
    <col min="7" max="7" width="16.33203125" style="5" customWidth="1"/>
    <col min="8" max="8" width="11.33203125" style="5" bestFit="1" customWidth="1"/>
    <col min="9" max="16384" width="8.88671875" style="5"/>
  </cols>
  <sheetData>
    <row r="1" spans="1:7" ht="40.200000000000003" customHeight="1" x14ac:dyDescent="0.3">
      <c r="A1" s="432" t="s">
        <v>425</v>
      </c>
      <c r="B1" s="432"/>
      <c r="C1" s="432"/>
      <c r="D1" s="432"/>
      <c r="E1" s="432"/>
      <c r="F1" s="432"/>
      <c r="G1" s="432"/>
    </row>
    <row r="2" spans="1:7" ht="35.4" customHeight="1" x14ac:dyDescent="0.3">
      <c r="A2" s="432" t="s">
        <v>426</v>
      </c>
      <c r="B2" s="432"/>
      <c r="C2" s="432"/>
      <c r="D2" s="432"/>
      <c r="E2" s="432"/>
      <c r="F2" s="432"/>
      <c r="G2" s="432"/>
    </row>
    <row r="3" spans="1:7" ht="24.6" customHeight="1" x14ac:dyDescent="0.3">
      <c r="A3" s="432" t="s">
        <v>167</v>
      </c>
      <c r="B3" s="432"/>
      <c r="C3" s="432"/>
      <c r="D3" s="432"/>
      <c r="E3" s="432"/>
      <c r="F3" s="432"/>
      <c r="G3" s="432"/>
    </row>
    <row r="4" spans="1:7" ht="17.399999999999999" x14ac:dyDescent="0.3">
      <c r="A4" s="96"/>
    </row>
    <row r="5" spans="1:7" ht="43.2" customHeight="1" x14ac:dyDescent="0.3">
      <c r="A5" s="432" t="s">
        <v>173</v>
      </c>
      <c r="B5" s="432"/>
      <c r="C5" s="432"/>
      <c r="D5" s="432"/>
      <c r="E5" s="432"/>
      <c r="F5" s="432"/>
      <c r="G5" s="432"/>
    </row>
    <row r="6" spans="1:7" ht="17.399999999999999" customHeight="1" x14ac:dyDescent="0.3">
      <c r="A6" s="99"/>
      <c r="B6" s="99"/>
      <c r="C6" s="99"/>
      <c r="D6" s="99"/>
      <c r="E6" s="99"/>
      <c r="F6" s="99"/>
      <c r="G6" s="99"/>
    </row>
    <row r="7" spans="1:7" ht="18" x14ac:dyDescent="0.35">
      <c r="A7" s="7" t="s">
        <v>144</v>
      </c>
      <c r="B7" s="8">
        <v>130</v>
      </c>
    </row>
    <row r="8" spans="1:7" ht="15" x14ac:dyDescent="0.3">
      <c r="A8" s="9"/>
    </row>
    <row r="9" spans="1:7" ht="43.95" customHeight="1" x14ac:dyDescent="0.3">
      <c r="A9" s="97" t="s">
        <v>85</v>
      </c>
      <c r="B9" s="416" t="s">
        <v>171</v>
      </c>
      <c r="C9" s="416"/>
      <c r="D9" s="416" t="s">
        <v>172</v>
      </c>
      <c r="E9" s="416"/>
      <c r="F9" s="416" t="s">
        <v>170</v>
      </c>
      <c r="G9" s="416"/>
    </row>
    <row r="10" spans="1:7" ht="18" x14ac:dyDescent="0.3">
      <c r="A10" s="97">
        <v>1</v>
      </c>
      <c r="B10" s="416">
        <v>2</v>
      </c>
      <c r="C10" s="416"/>
      <c r="D10" s="416">
        <v>3</v>
      </c>
      <c r="E10" s="416"/>
      <c r="F10" s="416">
        <v>4</v>
      </c>
      <c r="G10" s="416"/>
    </row>
    <row r="11" spans="1:7" ht="111.6" customHeight="1" x14ac:dyDescent="0.3">
      <c r="A11" s="11" t="s">
        <v>169</v>
      </c>
      <c r="B11" s="416" t="s">
        <v>116</v>
      </c>
      <c r="C11" s="416"/>
      <c r="D11" s="416" t="s">
        <v>116</v>
      </c>
      <c r="E11" s="416"/>
      <c r="F11" s="417">
        <f>'гос.зад на 2022 год '!E12</f>
        <v>107969421.20999999</v>
      </c>
      <c r="G11" s="417"/>
    </row>
    <row r="12" spans="1:7" ht="17.399999999999999" x14ac:dyDescent="0.3">
      <c r="A12" s="96"/>
    </row>
    <row r="13" spans="1:7" ht="43.2" customHeight="1" x14ac:dyDescent="0.3">
      <c r="A13" s="432" t="s">
        <v>427</v>
      </c>
      <c r="B13" s="432"/>
      <c r="C13" s="432"/>
      <c r="D13" s="432"/>
      <c r="E13" s="432"/>
      <c r="F13" s="432"/>
      <c r="G13" s="432"/>
    </row>
    <row r="14" spans="1:7" ht="12" customHeight="1" x14ac:dyDescent="0.3">
      <c r="A14" s="6"/>
    </row>
    <row r="15" spans="1:7" ht="17.399999999999999" x14ac:dyDescent="0.3">
      <c r="A15" s="415" t="s">
        <v>188</v>
      </c>
      <c r="B15" s="415"/>
      <c r="C15" s="415"/>
      <c r="D15" s="415"/>
      <c r="E15" s="415"/>
      <c r="F15" s="415"/>
      <c r="G15" s="415"/>
    </row>
    <row r="16" spans="1:7" ht="18" x14ac:dyDescent="0.3">
      <c r="A16" s="7"/>
    </row>
    <row r="17" spans="1:7" ht="18" x14ac:dyDescent="0.35">
      <c r="A17" s="7" t="s">
        <v>144</v>
      </c>
      <c r="B17" s="8">
        <v>111</v>
      </c>
    </row>
    <row r="18" spans="1:7" ht="15" x14ac:dyDescent="0.3">
      <c r="A18" s="9"/>
    </row>
    <row r="19" spans="1:7" ht="41.4" customHeight="1" x14ac:dyDescent="0.3">
      <c r="A19" s="416" t="s">
        <v>75</v>
      </c>
      <c r="B19" s="416" t="s">
        <v>76</v>
      </c>
      <c r="C19" s="416" t="s">
        <v>77</v>
      </c>
      <c r="D19" s="416"/>
      <c r="E19" s="416"/>
      <c r="F19" s="416"/>
      <c r="G19" s="416" t="s">
        <v>78</v>
      </c>
    </row>
    <row r="20" spans="1:7" ht="17.399999999999999" customHeight="1" x14ac:dyDescent="0.3">
      <c r="A20" s="416"/>
      <c r="B20" s="416"/>
      <c r="C20" s="416" t="s">
        <v>79</v>
      </c>
      <c r="D20" s="416" t="s">
        <v>6</v>
      </c>
      <c r="E20" s="416"/>
      <c r="F20" s="416"/>
      <c r="G20" s="416"/>
    </row>
    <row r="21" spans="1:7" ht="72" x14ac:dyDescent="0.3">
      <c r="A21" s="416"/>
      <c r="B21" s="416"/>
      <c r="C21" s="416"/>
      <c r="D21" s="10" t="s">
        <v>80</v>
      </c>
      <c r="E21" s="10" t="s">
        <v>81</v>
      </c>
      <c r="F21" s="10" t="s">
        <v>82</v>
      </c>
      <c r="G21" s="416"/>
    </row>
    <row r="22" spans="1:7" ht="18" x14ac:dyDescent="0.3">
      <c r="A22" s="118">
        <v>1</v>
      </c>
      <c r="B22" s="118">
        <v>2</v>
      </c>
      <c r="C22" s="118">
        <v>3</v>
      </c>
      <c r="D22" s="118">
        <v>4</v>
      </c>
      <c r="E22" s="118">
        <v>4</v>
      </c>
      <c r="F22" s="118">
        <v>5</v>
      </c>
      <c r="G22" s="118">
        <v>7</v>
      </c>
    </row>
    <row r="23" spans="1:7" x14ac:dyDescent="0.3">
      <c r="A23" s="119" t="s">
        <v>269</v>
      </c>
      <c r="B23" s="120">
        <v>1</v>
      </c>
      <c r="C23" s="121">
        <f t="shared" ref="C23:C43" si="0">SUM(D23:F23)</f>
        <v>62195.58</v>
      </c>
      <c r="D23" s="122">
        <v>17440</v>
      </c>
      <c r="E23" s="121"/>
      <c r="F23" s="121">
        <v>44755.58</v>
      </c>
      <c r="G23" s="121">
        <f t="shared" ref="G23:G85" si="1">C23*B23*12</f>
        <v>746346.96</v>
      </c>
    </row>
    <row r="24" spans="1:7" ht="18" customHeight="1" x14ac:dyDescent="0.3">
      <c r="A24" s="123" t="s">
        <v>270</v>
      </c>
      <c r="B24" s="120">
        <v>2</v>
      </c>
      <c r="C24" s="121">
        <f t="shared" si="0"/>
        <v>52402.25</v>
      </c>
      <c r="D24" s="122">
        <v>15700</v>
      </c>
      <c r="E24" s="121"/>
      <c r="F24" s="121">
        <v>36702.25</v>
      </c>
      <c r="G24" s="121">
        <f t="shared" si="1"/>
        <v>1257654</v>
      </c>
    </row>
    <row r="25" spans="1:7" ht="14.4" customHeight="1" x14ac:dyDescent="0.3">
      <c r="A25" s="119" t="s">
        <v>271</v>
      </c>
      <c r="B25" s="120">
        <v>1</v>
      </c>
      <c r="C25" s="121">
        <f t="shared" si="0"/>
        <v>44264.959999999999</v>
      </c>
      <c r="D25" s="122">
        <v>14940</v>
      </c>
      <c r="E25" s="124"/>
      <c r="F25" s="121">
        <v>29324.959999999999</v>
      </c>
      <c r="G25" s="121">
        <f t="shared" si="1"/>
        <v>531179.52000000002</v>
      </c>
    </row>
    <row r="26" spans="1:7" x14ac:dyDescent="0.3">
      <c r="A26" s="119" t="s">
        <v>272</v>
      </c>
      <c r="B26" s="120">
        <v>1</v>
      </c>
      <c r="C26" s="121">
        <f t="shared" si="0"/>
        <v>47075.64</v>
      </c>
      <c r="D26" s="122">
        <v>15700</v>
      </c>
      <c r="E26" s="121"/>
      <c r="F26" s="121">
        <v>31375.64</v>
      </c>
      <c r="G26" s="121">
        <f t="shared" si="1"/>
        <v>564907.67999999993</v>
      </c>
    </row>
    <row r="27" spans="1:7" ht="26.4" x14ac:dyDescent="0.3">
      <c r="A27" s="119" t="s">
        <v>273</v>
      </c>
      <c r="B27" s="120">
        <v>2</v>
      </c>
      <c r="C27" s="121">
        <f t="shared" si="0"/>
        <v>43739.240000000005</v>
      </c>
      <c r="D27" s="122">
        <v>14130</v>
      </c>
      <c r="E27" s="121"/>
      <c r="F27" s="121">
        <v>29609.24</v>
      </c>
      <c r="G27" s="121">
        <f t="shared" si="1"/>
        <v>1049741.7600000002</v>
      </c>
    </row>
    <row r="28" spans="1:7" ht="17.399999999999999" customHeight="1" x14ac:dyDescent="0.3">
      <c r="A28" s="119" t="s">
        <v>274</v>
      </c>
      <c r="B28" s="120">
        <v>3</v>
      </c>
      <c r="C28" s="121">
        <f t="shared" si="0"/>
        <v>26044.98</v>
      </c>
      <c r="D28" s="122">
        <v>13360</v>
      </c>
      <c r="E28" s="121"/>
      <c r="F28" s="121">
        <v>12684.98</v>
      </c>
      <c r="G28" s="121">
        <f t="shared" si="1"/>
        <v>937619.28</v>
      </c>
    </row>
    <row r="29" spans="1:7" x14ac:dyDescent="0.3">
      <c r="A29" s="119" t="s">
        <v>275</v>
      </c>
      <c r="B29" s="120">
        <v>1</v>
      </c>
      <c r="C29" s="121">
        <f t="shared" si="0"/>
        <v>24188.43</v>
      </c>
      <c r="D29" s="122">
        <v>12210</v>
      </c>
      <c r="E29" s="124"/>
      <c r="F29" s="121">
        <v>11978.43</v>
      </c>
      <c r="G29" s="121">
        <f t="shared" si="1"/>
        <v>290261.16000000003</v>
      </c>
    </row>
    <row r="30" spans="1:7" x14ac:dyDescent="0.3">
      <c r="A30" s="119" t="s">
        <v>276</v>
      </c>
      <c r="B30" s="120">
        <v>0.5</v>
      </c>
      <c r="C30" s="121">
        <f t="shared" si="0"/>
        <v>16724.21</v>
      </c>
      <c r="D30" s="122">
        <v>10770</v>
      </c>
      <c r="E30" s="121"/>
      <c r="F30" s="121">
        <v>5954.21</v>
      </c>
      <c r="G30" s="121">
        <f t="shared" si="1"/>
        <v>100345.26</v>
      </c>
    </row>
    <row r="31" spans="1:7" x14ac:dyDescent="0.3">
      <c r="A31" s="119" t="s">
        <v>277</v>
      </c>
      <c r="B31" s="120">
        <v>1</v>
      </c>
      <c r="C31" s="121">
        <f t="shared" si="0"/>
        <v>46334.559999999998</v>
      </c>
      <c r="D31" s="122">
        <v>15350</v>
      </c>
      <c r="E31" s="121"/>
      <c r="F31" s="121">
        <v>30984.560000000001</v>
      </c>
      <c r="G31" s="121">
        <f t="shared" si="1"/>
        <v>556014.72</v>
      </c>
    </row>
    <row r="32" spans="1:7" ht="18" customHeight="1" x14ac:dyDescent="0.3">
      <c r="A32" s="119" t="s">
        <v>278</v>
      </c>
      <c r="B32" s="120">
        <v>1</v>
      </c>
      <c r="C32" s="121">
        <f t="shared" si="0"/>
        <v>21479.35</v>
      </c>
      <c r="D32" s="122">
        <v>12210</v>
      </c>
      <c r="E32" s="121"/>
      <c r="F32" s="121">
        <v>9269.35</v>
      </c>
      <c r="G32" s="121">
        <f t="shared" si="1"/>
        <v>257752.19999999998</v>
      </c>
    </row>
    <row r="33" spans="1:7" ht="15.6" customHeight="1" x14ac:dyDescent="0.3">
      <c r="A33" s="119" t="s">
        <v>279</v>
      </c>
      <c r="B33" s="120">
        <v>1</v>
      </c>
      <c r="C33" s="121">
        <f t="shared" si="0"/>
        <v>24883.690000000002</v>
      </c>
      <c r="D33" s="122">
        <v>13360</v>
      </c>
      <c r="E33" s="121"/>
      <c r="F33" s="121">
        <v>11523.69</v>
      </c>
      <c r="G33" s="121">
        <f t="shared" si="1"/>
        <v>298604.28000000003</v>
      </c>
    </row>
    <row r="34" spans="1:7" ht="25.95" customHeight="1" x14ac:dyDescent="0.3">
      <c r="A34" s="119" t="s">
        <v>280</v>
      </c>
      <c r="B34" s="120">
        <v>1</v>
      </c>
      <c r="C34" s="121">
        <f t="shared" si="0"/>
        <v>23828.690000000002</v>
      </c>
      <c r="D34" s="122">
        <v>12500</v>
      </c>
      <c r="E34" s="121"/>
      <c r="F34" s="121">
        <v>11328.69</v>
      </c>
      <c r="G34" s="121">
        <f t="shared" si="1"/>
        <v>285944.28000000003</v>
      </c>
    </row>
    <row r="35" spans="1:7" x14ac:dyDescent="0.3">
      <c r="A35" s="119" t="s">
        <v>281</v>
      </c>
      <c r="B35" s="120">
        <v>1</v>
      </c>
      <c r="C35" s="121">
        <f t="shared" si="0"/>
        <v>24155.85</v>
      </c>
      <c r="D35" s="122">
        <v>12210</v>
      </c>
      <c r="E35" s="121"/>
      <c r="F35" s="121">
        <v>11945.85</v>
      </c>
      <c r="G35" s="121">
        <f t="shared" si="1"/>
        <v>289870.19999999995</v>
      </c>
    </row>
    <row r="36" spans="1:7" ht="17.399999999999999" customHeight="1" x14ac:dyDescent="0.3">
      <c r="A36" s="119" t="s">
        <v>282</v>
      </c>
      <c r="B36" s="120">
        <v>1</v>
      </c>
      <c r="C36" s="121">
        <f t="shared" si="0"/>
        <v>23755.85</v>
      </c>
      <c r="D36" s="122">
        <v>12210</v>
      </c>
      <c r="E36" s="121"/>
      <c r="F36" s="121">
        <v>11545.85</v>
      </c>
      <c r="G36" s="121">
        <f t="shared" si="1"/>
        <v>285070.19999999995</v>
      </c>
    </row>
    <row r="37" spans="1:7" ht="39.6" x14ac:dyDescent="0.3">
      <c r="A37" s="119" t="s">
        <v>283</v>
      </c>
      <c r="B37" s="120">
        <v>1</v>
      </c>
      <c r="C37" s="121">
        <f t="shared" si="0"/>
        <v>24155.85</v>
      </c>
      <c r="D37" s="122">
        <v>12210</v>
      </c>
      <c r="E37" s="124"/>
      <c r="F37" s="121">
        <v>11945.85</v>
      </c>
      <c r="G37" s="121">
        <f t="shared" si="1"/>
        <v>289870.19999999995</v>
      </c>
    </row>
    <row r="38" spans="1:7" x14ac:dyDescent="0.3">
      <c r="A38" s="119" t="s">
        <v>284</v>
      </c>
      <c r="B38" s="120">
        <v>1</v>
      </c>
      <c r="C38" s="121">
        <f t="shared" si="0"/>
        <v>26924.47</v>
      </c>
      <c r="D38" s="122">
        <v>13360</v>
      </c>
      <c r="E38" s="124"/>
      <c r="F38" s="121">
        <v>13564.47</v>
      </c>
      <c r="G38" s="121">
        <f t="shared" si="1"/>
        <v>323093.64</v>
      </c>
    </row>
    <row r="39" spans="1:7" x14ac:dyDescent="0.3">
      <c r="A39" s="119" t="s">
        <v>285</v>
      </c>
      <c r="B39" s="120">
        <v>1</v>
      </c>
      <c r="C39" s="121">
        <f t="shared" si="0"/>
        <v>25330.720000000001</v>
      </c>
      <c r="D39" s="122">
        <v>12760</v>
      </c>
      <c r="E39" s="121"/>
      <c r="F39" s="121">
        <v>12570.72</v>
      </c>
      <c r="G39" s="121">
        <f t="shared" si="1"/>
        <v>303968.64000000001</v>
      </c>
    </row>
    <row r="40" spans="1:7" ht="18" customHeight="1" x14ac:dyDescent="0.3">
      <c r="A40" s="119" t="s">
        <v>286</v>
      </c>
      <c r="B40" s="120">
        <v>1</v>
      </c>
      <c r="C40" s="121">
        <f t="shared" si="0"/>
        <v>45026.25</v>
      </c>
      <c r="D40" s="122">
        <v>15070</v>
      </c>
      <c r="E40" s="124"/>
      <c r="F40" s="121">
        <v>29956.25</v>
      </c>
      <c r="G40" s="121">
        <f t="shared" si="1"/>
        <v>540315</v>
      </c>
    </row>
    <row r="41" spans="1:7" ht="15.6" customHeight="1" x14ac:dyDescent="0.3">
      <c r="A41" s="119" t="s">
        <v>287</v>
      </c>
      <c r="B41" s="120">
        <v>1</v>
      </c>
      <c r="C41" s="121">
        <f t="shared" si="0"/>
        <v>24723.599999999999</v>
      </c>
      <c r="D41" s="122">
        <v>12760</v>
      </c>
      <c r="E41" s="124"/>
      <c r="F41" s="121">
        <v>11963.6</v>
      </c>
      <c r="G41" s="121">
        <f t="shared" si="1"/>
        <v>296683.19999999995</v>
      </c>
    </row>
    <row r="42" spans="1:7" ht="26.4" x14ac:dyDescent="0.3">
      <c r="A42" s="119" t="s">
        <v>288</v>
      </c>
      <c r="B42" s="120">
        <v>1</v>
      </c>
      <c r="C42" s="121">
        <f t="shared" si="0"/>
        <v>24613.690000000002</v>
      </c>
      <c r="D42" s="122">
        <v>12760</v>
      </c>
      <c r="E42" s="124"/>
      <c r="F42" s="121">
        <v>11853.69</v>
      </c>
      <c r="G42" s="121">
        <f t="shared" si="1"/>
        <v>295364.28000000003</v>
      </c>
    </row>
    <row r="43" spans="1:7" x14ac:dyDescent="0.3">
      <c r="A43" s="119" t="s">
        <v>289</v>
      </c>
      <c r="B43" s="120">
        <v>1</v>
      </c>
      <c r="C43" s="121">
        <f t="shared" si="0"/>
        <v>14746.369999999999</v>
      </c>
      <c r="D43" s="122">
        <v>12760</v>
      </c>
      <c r="E43" s="121"/>
      <c r="F43" s="121">
        <v>1986.37</v>
      </c>
      <c r="G43" s="121">
        <f t="shared" si="1"/>
        <v>176956.44</v>
      </c>
    </row>
    <row r="44" spans="1:7" ht="16.95" customHeight="1" x14ac:dyDescent="0.3">
      <c r="A44" s="119" t="s">
        <v>290</v>
      </c>
      <c r="B44" s="120">
        <v>1</v>
      </c>
      <c r="C44" s="121">
        <f>SUM(D44:F44)</f>
        <v>23994.89</v>
      </c>
      <c r="D44" s="122">
        <v>12760</v>
      </c>
      <c r="E44" s="121"/>
      <c r="F44" s="121">
        <v>11234.89</v>
      </c>
      <c r="G44" s="121">
        <f t="shared" si="1"/>
        <v>287938.68</v>
      </c>
    </row>
    <row r="45" spans="1:7" x14ac:dyDescent="0.3">
      <c r="A45" s="119" t="s">
        <v>291</v>
      </c>
      <c r="B45" s="120">
        <v>1</v>
      </c>
      <c r="C45" s="121">
        <f t="shared" ref="C45:C88" si="2">SUM(D45:F45)</f>
        <v>13322.35</v>
      </c>
      <c r="D45" s="122">
        <v>12760</v>
      </c>
      <c r="E45" s="121"/>
      <c r="F45" s="121">
        <v>562.35</v>
      </c>
      <c r="G45" s="121">
        <f>C45*B45*12</f>
        <v>159868.20000000001</v>
      </c>
    </row>
    <row r="46" spans="1:7" ht="26.4" x14ac:dyDescent="0.3">
      <c r="A46" s="119" t="s">
        <v>292</v>
      </c>
      <c r="B46" s="120">
        <v>1</v>
      </c>
      <c r="C46" s="121">
        <f>SUM(D46:F46)</f>
        <v>15500</v>
      </c>
      <c r="D46" s="122">
        <v>15500</v>
      </c>
      <c r="E46" s="121"/>
      <c r="F46" s="121"/>
      <c r="G46" s="121">
        <f>C46*B46*12</f>
        <v>186000</v>
      </c>
    </row>
    <row r="47" spans="1:7" ht="17.399999999999999" customHeight="1" x14ac:dyDescent="0.3">
      <c r="A47" s="119" t="s">
        <v>293</v>
      </c>
      <c r="B47" s="120">
        <v>1</v>
      </c>
      <c r="C47" s="121">
        <f>SUM(D47:F47)</f>
        <v>48736.78</v>
      </c>
      <c r="D47" s="125">
        <v>15500</v>
      </c>
      <c r="E47" s="121"/>
      <c r="F47" s="121">
        <v>33236.78</v>
      </c>
      <c r="G47" s="121">
        <f>B47*C47*12</f>
        <v>584841.36</v>
      </c>
    </row>
    <row r="48" spans="1:7" ht="17.399999999999999" customHeight="1" x14ac:dyDescent="0.3">
      <c r="A48" s="119" t="s">
        <v>294</v>
      </c>
      <c r="B48" s="120">
        <v>1</v>
      </c>
      <c r="C48" s="121">
        <f>SUM(D48:F48)</f>
        <v>15500</v>
      </c>
      <c r="D48" s="125">
        <v>15500</v>
      </c>
      <c r="E48" s="121"/>
      <c r="F48" s="121"/>
      <c r="G48" s="121">
        <f>B48*C48*12</f>
        <v>186000</v>
      </c>
    </row>
    <row r="49" spans="1:7" ht="15.6" customHeight="1" x14ac:dyDescent="0.3">
      <c r="A49" s="119" t="s">
        <v>295</v>
      </c>
      <c r="B49" s="120">
        <v>1</v>
      </c>
      <c r="C49" s="121">
        <f>SUM(D49:F49)</f>
        <v>46736.78</v>
      </c>
      <c r="D49" s="125">
        <v>15500</v>
      </c>
      <c r="E49" s="121"/>
      <c r="F49" s="121">
        <v>31236.78</v>
      </c>
      <c r="G49" s="121">
        <f>C49*B49*12</f>
        <v>560841.36</v>
      </c>
    </row>
    <row r="50" spans="1:7" x14ac:dyDescent="0.3">
      <c r="A50" s="119" t="s">
        <v>296</v>
      </c>
      <c r="B50" s="120">
        <v>1</v>
      </c>
      <c r="C50" s="121">
        <f>SUM(D50:F50)</f>
        <v>48736.78</v>
      </c>
      <c r="D50" s="125">
        <v>15500</v>
      </c>
      <c r="E50" s="121"/>
      <c r="F50" s="121">
        <v>33236.78</v>
      </c>
      <c r="G50" s="121">
        <f>B50*C50*12</f>
        <v>584841.36</v>
      </c>
    </row>
    <row r="51" spans="1:7" ht="26.4" x14ac:dyDescent="0.3">
      <c r="A51" s="119" t="s">
        <v>297</v>
      </c>
      <c r="B51" s="126">
        <v>1</v>
      </c>
      <c r="C51" s="121">
        <f t="shared" si="2"/>
        <v>35956.35</v>
      </c>
      <c r="D51" s="125">
        <v>15200</v>
      </c>
      <c r="E51" s="121"/>
      <c r="F51" s="121">
        <v>20756.349999999999</v>
      </c>
      <c r="G51" s="121">
        <f t="shared" si="1"/>
        <v>431476.19999999995</v>
      </c>
    </row>
    <row r="52" spans="1:7" ht="25.2" customHeight="1" x14ac:dyDescent="0.3">
      <c r="A52" s="119" t="s">
        <v>298</v>
      </c>
      <c r="B52" s="126">
        <v>1</v>
      </c>
      <c r="C52" s="121">
        <f>SUM(D52:F52)</f>
        <v>36956.35</v>
      </c>
      <c r="D52" s="125">
        <v>15200</v>
      </c>
      <c r="E52" s="121"/>
      <c r="F52" s="121">
        <v>21756.35</v>
      </c>
      <c r="G52" s="121">
        <f>C52*B52*12</f>
        <v>443476.19999999995</v>
      </c>
    </row>
    <row r="53" spans="1:7" ht="26.4" x14ac:dyDescent="0.3">
      <c r="A53" s="119" t="s">
        <v>299</v>
      </c>
      <c r="B53" s="126">
        <v>1</v>
      </c>
      <c r="C53" s="121">
        <f t="shared" si="2"/>
        <v>46956.35</v>
      </c>
      <c r="D53" s="125">
        <v>15200</v>
      </c>
      <c r="E53" s="121"/>
      <c r="F53" s="121">
        <v>31756.35</v>
      </c>
      <c r="G53" s="121">
        <f t="shared" si="1"/>
        <v>563476.19999999995</v>
      </c>
    </row>
    <row r="54" spans="1:7" ht="26.4" x14ac:dyDescent="0.3">
      <c r="A54" s="119" t="s">
        <v>300</v>
      </c>
      <c r="B54" s="126">
        <v>4</v>
      </c>
      <c r="C54" s="121">
        <f t="shared" si="2"/>
        <v>25616.32</v>
      </c>
      <c r="D54" s="125">
        <v>13360</v>
      </c>
      <c r="E54" s="121"/>
      <c r="F54" s="121">
        <v>12256.32</v>
      </c>
      <c r="G54" s="121">
        <f t="shared" si="1"/>
        <v>1229583.3599999999</v>
      </c>
    </row>
    <row r="55" spans="1:7" ht="27.6" customHeight="1" x14ac:dyDescent="0.3">
      <c r="A55" s="127" t="s">
        <v>301</v>
      </c>
      <c r="B55" s="126">
        <v>1</v>
      </c>
      <c r="C55" s="121">
        <f t="shared" si="2"/>
        <v>26887.510000000002</v>
      </c>
      <c r="D55" s="125">
        <v>13970</v>
      </c>
      <c r="E55" s="121"/>
      <c r="F55" s="121">
        <v>12917.51</v>
      </c>
      <c r="G55" s="121">
        <f t="shared" si="1"/>
        <v>322650.12</v>
      </c>
    </row>
    <row r="56" spans="1:7" ht="26.4" x14ac:dyDescent="0.3">
      <c r="A56" s="119" t="s">
        <v>302</v>
      </c>
      <c r="B56" s="126">
        <v>1</v>
      </c>
      <c r="C56" s="121">
        <f t="shared" si="2"/>
        <v>29648.2</v>
      </c>
      <c r="D56" s="125">
        <v>12760</v>
      </c>
      <c r="E56" s="121"/>
      <c r="F56" s="121">
        <v>16888.2</v>
      </c>
      <c r="G56" s="121">
        <f t="shared" si="1"/>
        <v>355778.4</v>
      </c>
    </row>
    <row r="57" spans="1:7" x14ac:dyDescent="0.3">
      <c r="A57" s="128" t="s">
        <v>303</v>
      </c>
      <c r="B57" s="129">
        <v>2.5</v>
      </c>
      <c r="C57" s="121">
        <f>SUM(D57:F57)</f>
        <v>23519.53</v>
      </c>
      <c r="D57" s="125">
        <v>12470</v>
      </c>
      <c r="E57" s="129"/>
      <c r="F57" s="121">
        <v>11049.53</v>
      </c>
      <c r="G57" s="121">
        <f t="shared" si="1"/>
        <v>705585.89999999991</v>
      </c>
    </row>
    <row r="58" spans="1:7" ht="18" customHeight="1" x14ac:dyDescent="0.3">
      <c r="A58" s="128" t="s">
        <v>304</v>
      </c>
      <c r="B58" s="129">
        <v>0.5</v>
      </c>
      <c r="C58" s="121">
        <f>SUM(D58:F58)</f>
        <v>23519.52</v>
      </c>
      <c r="D58" s="125">
        <v>12470</v>
      </c>
      <c r="E58" s="129"/>
      <c r="F58" s="121">
        <v>11049.52</v>
      </c>
      <c r="G58" s="121">
        <f t="shared" si="1"/>
        <v>141117.12</v>
      </c>
    </row>
    <row r="59" spans="1:7" x14ac:dyDescent="0.3">
      <c r="A59" s="128" t="s">
        <v>305</v>
      </c>
      <c r="B59" s="129">
        <v>0.5</v>
      </c>
      <c r="C59" s="121">
        <f>SUM(D60:F60)</f>
        <v>23519.52</v>
      </c>
      <c r="D59" s="125">
        <v>12470</v>
      </c>
      <c r="E59" s="129"/>
      <c r="F59" s="121">
        <v>11049.52</v>
      </c>
      <c r="G59" s="121">
        <f t="shared" si="1"/>
        <v>141117.12</v>
      </c>
    </row>
    <row r="60" spans="1:7" x14ac:dyDescent="0.3">
      <c r="A60" s="130" t="s">
        <v>306</v>
      </c>
      <c r="B60" s="126">
        <v>0.5</v>
      </c>
      <c r="C60" s="121">
        <f t="shared" si="2"/>
        <v>23519.52</v>
      </c>
      <c r="D60" s="125">
        <v>12470</v>
      </c>
      <c r="E60" s="121"/>
      <c r="F60" s="121">
        <v>11049.52</v>
      </c>
      <c r="G60" s="121">
        <f t="shared" si="1"/>
        <v>141117.12</v>
      </c>
    </row>
    <row r="61" spans="1:7" ht="17.399999999999999" customHeight="1" x14ac:dyDescent="0.3">
      <c r="A61" s="130" t="s">
        <v>307</v>
      </c>
      <c r="B61" s="126">
        <v>1</v>
      </c>
      <c r="C61" s="121">
        <f>SUM(D61:F61)</f>
        <v>25049.78</v>
      </c>
      <c r="D61" s="125">
        <v>13360</v>
      </c>
      <c r="E61" s="121"/>
      <c r="F61" s="121">
        <v>11689.78</v>
      </c>
      <c r="G61" s="121">
        <f t="shared" si="1"/>
        <v>300597.36</v>
      </c>
    </row>
    <row r="62" spans="1:7" ht="14.4" customHeight="1" x14ac:dyDescent="0.3">
      <c r="A62" s="130" t="s">
        <v>308</v>
      </c>
      <c r="B62" s="126">
        <v>1</v>
      </c>
      <c r="C62" s="121">
        <f>SUM(D62:F62)</f>
        <v>25049.78</v>
      </c>
      <c r="D62" s="125">
        <v>13360</v>
      </c>
      <c r="E62" s="121"/>
      <c r="F62" s="121">
        <v>11689.78</v>
      </c>
      <c r="G62" s="121">
        <f t="shared" si="1"/>
        <v>300597.36</v>
      </c>
    </row>
    <row r="63" spans="1:7" ht="14.4" customHeight="1" x14ac:dyDescent="0.3">
      <c r="A63" s="130" t="s">
        <v>382</v>
      </c>
      <c r="B63" s="126">
        <v>1</v>
      </c>
      <c r="C63" s="288">
        <f>SUM(D63:F63)</f>
        <v>25049.78</v>
      </c>
      <c r="D63" s="125">
        <v>13360</v>
      </c>
      <c r="E63" s="288"/>
      <c r="F63" s="288">
        <v>11689.78</v>
      </c>
      <c r="G63" s="288">
        <f t="shared" si="1"/>
        <v>300597.36</v>
      </c>
    </row>
    <row r="64" spans="1:7" x14ac:dyDescent="0.3">
      <c r="A64" s="119" t="s">
        <v>448</v>
      </c>
      <c r="B64" s="126">
        <v>1</v>
      </c>
      <c r="C64" s="121">
        <f t="shared" si="2"/>
        <v>25049.78</v>
      </c>
      <c r="D64" s="125">
        <v>13360</v>
      </c>
      <c r="E64" s="121"/>
      <c r="F64" s="121">
        <v>11689.78</v>
      </c>
      <c r="G64" s="121">
        <f t="shared" si="1"/>
        <v>300597.36</v>
      </c>
    </row>
    <row r="65" spans="1:7" ht="39.6" x14ac:dyDescent="0.3">
      <c r="A65" s="131" t="s">
        <v>309</v>
      </c>
      <c r="B65" s="126">
        <v>12</v>
      </c>
      <c r="C65" s="121">
        <f t="shared" si="2"/>
        <v>40598.449999999997</v>
      </c>
      <c r="D65" s="125">
        <v>14500</v>
      </c>
      <c r="E65" s="121"/>
      <c r="F65" s="121">
        <v>26098.45</v>
      </c>
      <c r="G65" s="121">
        <f t="shared" si="1"/>
        <v>5846176.7999999998</v>
      </c>
    </row>
    <row r="66" spans="1:7" ht="39.6" x14ac:dyDescent="0.3">
      <c r="A66" s="131" t="s">
        <v>310</v>
      </c>
      <c r="B66" s="126">
        <v>13</v>
      </c>
      <c r="C66" s="121">
        <f t="shared" si="2"/>
        <v>39054.69</v>
      </c>
      <c r="D66" s="125">
        <v>14000</v>
      </c>
      <c r="E66" s="121"/>
      <c r="F66" s="121">
        <v>25054.69</v>
      </c>
      <c r="G66" s="121">
        <f t="shared" si="1"/>
        <v>6092531.6400000006</v>
      </c>
    </row>
    <row r="67" spans="1:7" ht="24" customHeight="1" x14ac:dyDescent="0.3">
      <c r="A67" s="131" t="s">
        <v>311</v>
      </c>
      <c r="B67" s="126">
        <v>4</v>
      </c>
      <c r="C67" s="121">
        <f t="shared" si="2"/>
        <v>36942.47</v>
      </c>
      <c r="D67" s="125">
        <v>13360</v>
      </c>
      <c r="E67" s="121"/>
      <c r="F67" s="121">
        <v>23582.47</v>
      </c>
      <c r="G67" s="121">
        <f t="shared" si="1"/>
        <v>1773238.56</v>
      </c>
    </row>
    <row r="68" spans="1:7" ht="26.4" x14ac:dyDescent="0.3">
      <c r="A68" s="131" t="s">
        <v>312</v>
      </c>
      <c r="B68" s="126">
        <v>9</v>
      </c>
      <c r="C68" s="121">
        <f t="shared" si="2"/>
        <v>35207.589999999997</v>
      </c>
      <c r="D68" s="125">
        <v>13360</v>
      </c>
      <c r="E68" s="121"/>
      <c r="F68" s="121">
        <v>21847.59</v>
      </c>
      <c r="G68" s="121">
        <f t="shared" si="1"/>
        <v>3802419.7199999993</v>
      </c>
    </row>
    <row r="69" spans="1:7" x14ac:dyDescent="0.3">
      <c r="A69" s="132" t="s">
        <v>313</v>
      </c>
      <c r="B69" s="126">
        <v>12</v>
      </c>
      <c r="C69" s="121">
        <f t="shared" si="2"/>
        <v>33845.440000000002</v>
      </c>
      <c r="D69" s="125">
        <v>12400</v>
      </c>
      <c r="E69" s="121"/>
      <c r="F69" s="121">
        <v>21445.439999999999</v>
      </c>
      <c r="G69" s="121">
        <f t="shared" si="1"/>
        <v>4873743.3600000003</v>
      </c>
    </row>
    <row r="70" spans="1:7" ht="33.6" customHeight="1" x14ac:dyDescent="0.3">
      <c r="A70" s="131" t="s">
        <v>314</v>
      </c>
      <c r="B70" s="126">
        <v>4</v>
      </c>
      <c r="C70" s="121">
        <f t="shared" si="2"/>
        <v>34468.65</v>
      </c>
      <c r="D70" s="125">
        <v>13360</v>
      </c>
      <c r="E70" s="121"/>
      <c r="F70" s="121">
        <v>21108.65</v>
      </c>
      <c r="G70" s="121">
        <f t="shared" si="1"/>
        <v>1654495.2000000002</v>
      </c>
    </row>
    <row r="71" spans="1:7" ht="26.4" x14ac:dyDescent="0.3">
      <c r="A71" s="131" t="s">
        <v>315</v>
      </c>
      <c r="B71" s="126">
        <v>7</v>
      </c>
      <c r="C71" s="121">
        <f t="shared" si="2"/>
        <v>33857.449999999997</v>
      </c>
      <c r="D71" s="125">
        <v>12500</v>
      </c>
      <c r="E71" s="121"/>
      <c r="F71" s="121">
        <v>21357.45</v>
      </c>
      <c r="G71" s="121">
        <f t="shared" si="1"/>
        <v>2844025.8</v>
      </c>
    </row>
    <row r="72" spans="1:7" x14ac:dyDescent="0.3">
      <c r="A72" s="133" t="s">
        <v>316</v>
      </c>
      <c r="B72" s="134">
        <v>8</v>
      </c>
      <c r="C72" s="135">
        <f t="shared" si="2"/>
        <v>32569.98</v>
      </c>
      <c r="D72" s="136">
        <v>12000</v>
      </c>
      <c r="E72" s="135"/>
      <c r="F72" s="135">
        <v>20569.98</v>
      </c>
      <c r="G72" s="135">
        <f t="shared" si="1"/>
        <v>3126718.08</v>
      </c>
    </row>
    <row r="73" spans="1:7" ht="30.6" customHeight="1" x14ac:dyDescent="0.3">
      <c r="A73" s="131" t="s">
        <v>317</v>
      </c>
      <c r="B73" s="126">
        <v>16</v>
      </c>
      <c r="C73" s="121">
        <f t="shared" si="2"/>
        <v>33701.56</v>
      </c>
      <c r="D73" s="125">
        <v>13360</v>
      </c>
      <c r="E73" s="121"/>
      <c r="F73" s="121">
        <v>20341.560000000001</v>
      </c>
      <c r="G73" s="121">
        <f t="shared" si="1"/>
        <v>6470699.5199999996</v>
      </c>
    </row>
    <row r="74" spans="1:7" ht="26.4" x14ac:dyDescent="0.3">
      <c r="A74" s="131" t="s">
        <v>318</v>
      </c>
      <c r="B74" s="126">
        <v>6</v>
      </c>
      <c r="C74" s="121">
        <f t="shared" si="2"/>
        <v>30689.19</v>
      </c>
      <c r="D74" s="125">
        <v>12700</v>
      </c>
      <c r="E74" s="121"/>
      <c r="F74" s="121">
        <v>17989.189999999999</v>
      </c>
      <c r="G74" s="121">
        <f t="shared" si="1"/>
        <v>2209621.6799999997</v>
      </c>
    </row>
    <row r="75" spans="1:7" ht="26.4" x14ac:dyDescent="0.3">
      <c r="A75" s="131" t="s">
        <v>319</v>
      </c>
      <c r="B75" s="126">
        <v>7</v>
      </c>
      <c r="C75" s="121">
        <f t="shared" si="2"/>
        <v>26611.46</v>
      </c>
      <c r="D75" s="125">
        <v>12000</v>
      </c>
      <c r="E75" s="121"/>
      <c r="F75" s="121">
        <v>14611.46</v>
      </c>
      <c r="G75" s="121">
        <f t="shared" si="1"/>
        <v>2235362.64</v>
      </c>
    </row>
    <row r="76" spans="1:7" ht="24" x14ac:dyDescent="0.3">
      <c r="A76" s="137" t="s">
        <v>320</v>
      </c>
      <c r="B76" s="138">
        <v>1</v>
      </c>
      <c r="C76" s="139">
        <f t="shared" si="2"/>
        <v>28959.54</v>
      </c>
      <c r="D76" s="140">
        <v>14500</v>
      </c>
      <c r="E76" s="139"/>
      <c r="F76" s="139">
        <v>14459.54</v>
      </c>
      <c r="G76" s="139">
        <f t="shared" si="1"/>
        <v>347514.48</v>
      </c>
    </row>
    <row r="77" spans="1:7" x14ac:dyDescent="0.3">
      <c r="A77" s="141" t="s">
        <v>321</v>
      </c>
      <c r="B77" s="138">
        <v>1</v>
      </c>
      <c r="C77" s="139">
        <f t="shared" si="2"/>
        <v>25312.36</v>
      </c>
      <c r="D77" s="140">
        <v>12470</v>
      </c>
      <c r="E77" s="139"/>
      <c r="F77" s="139">
        <v>12842.36</v>
      </c>
      <c r="G77" s="139">
        <f t="shared" si="1"/>
        <v>303748.32</v>
      </c>
    </row>
    <row r="78" spans="1:7" x14ac:dyDescent="0.3">
      <c r="A78" s="141" t="s">
        <v>322</v>
      </c>
      <c r="B78" s="138">
        <v>1</v>
      </c>
      <c r="C78" s="139">
        <f t="shared" si="2"/>
        <v>21432</v>
      </c>
      <c r="D78" s="140">
        <v>10310</v>
      </c>
      <c r="E78" s="139"/>
      <c r="F78" s="139">
        <v>11122</v>
      </c>
      <c r="G78" s="139">
        <f t="shared" si="1"/>
        <v>257184</v>
      </c>
    </row>
    <row r="79" spans="1:7" x14ac:dyDescent="0.3">
      <c r="A79" s="141" t="s">
        <v>323</v>
      </c>
      <c r="B79" s="138">
        <v>2</v>
      </c>
      <c r="C79" s="139">
        <f t="shared" si="2"/>
        <v>20372</v>
      </c>
      <c r="D79" s="140">
        <v>9250</v>
      </c>
      <c r="E79" s="139"/>
      <c r="F79" s="139">
        <v>11122</v>
      </c>
      <c r="G79" s="139">
        <f t="shared" si="1"/>
        <v>488928</v>
      </c>
    </row>
    <row r="80" spans="1:7" ht="24" x14ac:dyDescent="0.3">
      <c r="A80" s="137" t="s">
        <v>324</v>
      </c>
      <c r="B80" s="138">
        <v>1</v>
      </c>
      <c r="C80" s="139">
        <f t="shared" si="2"/>
        <v>24671.52</v>
      </c>
      <c r="D80" s="140">
        <v>13360</v>
      </c>
      <c r="E80" s="139"/>
      <c r="F80" s="139">
        <v>11311.52</v>
      </c>
      <c r="G80" s="139">
        <f t="shared" si="1"/>
        <v>296058.23999999999</v>
      </c>
    </row>
    <row r="81" spans="1:7" x14ac:dyDescent="0.3">
      <c r="A81" s="141" t="s">
        <v>325</v>
      </c>
      <c r="B81" s="138">
        <v>2</v>
      </c>
      <c r="C81" s="139">
        <f t="shared" si="2"/>
        <v>23788.15</v>
      </c>
      <c r="D81" s="140">
        <v>12210</v>
      </c>
      <c r="E81" s="139"/>
      <c r="F81" s="139">
        <v>11578.15</v>
      </c>
      <c r="G81" s="139">
        <f t="shared" si="1"/>
        <v>570915.60000000009</v>
      </c>
    </row>
    <row r="82" spans="1:7" ht="26.4" x14ac:dyDescent="0.3">
      <c r="A82" s="142" t="s">
        <v>326</v>
      </c>
      <c r="B82" s="138">
        <v>1</v>
      </c>
      <c r="C82" s="139">
        <f t="shared" si="2"/>
        <v>23139.78</v>
      </c>
      <c r="D82" s="140">
        <v>11500</v>
      </c>
      <c r="E82" s="139"/>
      <c r="F82" s="139">
        <v>11639.78</v>
      </c>
      <c r="G82" s="139">
        <f t="shared" si="1"/>
        <v>277677.36</v>
      </c>
    </row>
    <row r="83" spans="1:7" ht="15.6" customHeight="1" x14ac:dyDescent="0.3">
      <c r="A83" s="141" t="s">
        <v>327</v>
      </c>
      <c r="B83" s="138">
        <v>1</v>
      </c>
      <c r="C83" s="139">
        <f t="shared" si="2"/>
        <v>25205.940000000002</v>
      </c>
      <c r="D83" s="140">
        <v>13360</v>
      </c>
      <c r="E83" s="139"/>
      <c r="F83" s="139">
        <v>11845.94</v>
      </c>
      <c r="G83" s="139">
        <f t="shared" si="1"/>
        <v>302471.28000000003</v>
      </c>
    </row>
    <row r="84" spans="1:7" x14ac:dyDescent="0.3">
      <c r="A84" s="141" t="s">
        <v>328</v>
      </c>
      <c r="B84" s="138">
        <v>4</v>
      </c>
      <c r="C84" s="139">
        <f t="shared" si="2"/>
        <v>21567.45</v>
      </c>
      <c r="D84" s="140">
        <v>10000</v>
      </c>
      <c r="E84" s="139"/>
      <c r="F84" s="139">
        <v>11567.45</v>
      </c>
      <c r="G84" s="139">
        <f t="shared" si="1"/>
        <v>1035237.6000000001</v>
      </c>
    </row>
    <row r="85" spans="1:7" ht="26.4" x14ac:dyDescent="0.3">
      <c r="A85" s="142" t="s">
        <v>329</v>
      </c>
      <c r="B85" s="138">
        <v>1</v>
      </c>
      <c r="C85" s="139">
        <f t="shared" si="2"/>
        <v>24965.47</v>
      </c>
      <c r="D85" s="140">
        <v>13360</v>
      </c>
      <c r="E85" s="139"/>
      <c r="F85" s="139">
        <v>11605.47</v>
      </c>
      <c r="G85" s="139">
        <f t="shared" si="1"/>
        <v>299585.64</v>
      </c>
    </row>
    <row r="86" spans="1:7" x14ac:dyDescent="0.3">
      <c r="A86" s="141" t="s">
        <v>330</v>
      </c>
      <c r="B86" s="138">
        <v>2.5</v>
      </c>
      <c r="C86" s="139">
        <f t="shared" si="2"/>
        <v>23567.59</v>
      </c>
      <c r="D86" s="140">
        <v>12000</v>
      </c>
      <c r="E86" s="139"/>
      <c r="F86" s="139">
        <v>11567.59</v>
      </c>
      <c r="G86" s="139">
        <f t="shared" ref="G86:G108" si="3">C86*B86*12</f>
        <v>707027.7</v>
      </c>
    </row>
    <row r="87" spans="1:7" ht="26.4" x14ac:dyDescent="0.3">
      <c r="A87" s="142" t="s">
        <v>331</v>
      </c>
      <c r="B87" s="138">
        <v>1</v>
      </c>
      <c r="C87" s="139">
        <f t="shared" si="2"/>
        <v>24846.120000000003</v>
      </c>
      <c r="D87" s="140">
        <v>13360</v>
      </c>
      <c r="E87" s="139"/>
      <c r="F87" s="139">
        <v>11486.12</v>
      </c>
      <c r="G87" s="139">
        <f t="shared" si="3"/>
        <v>298153.44000000006</v>
      </c>
    </row>
    <row r="88" spans="1:7" x14ac:dyDescent="0.3">
      <c r="A88" s="141" t="s">
        <v>332</v>
      </c>
      <c r="B88" s="138">
        <v>1</v>
      </c>
      <c r="C88" s="139">
        <f t="shared" si="2"/>
        <v>13360</v>
      </c>
      <c r="D88" s="140">
        <v>13360</v>
      </c>
      <c r="E88" s="139"/>
      <c r="F88" s="139"/>
      <c r="G88" s="139">
        <f t="shared" si="3"/>
        <v>160320</v>
      </c>
    </row>
    <row r="89" spans="1:7" ht="18" customHeight="1" x14ac:dyDescent="0.3">
      <c r="A89" s="141" t="s">
        <v>333</v>
      </c>
      <c r="B89" s="138">
        <v>2</v>
      </c>
      <c r="C89" s="139">
        <f t="shared" ref="C89:C116" si="4">SUM(D89:F89)</f>
        <v>22622.61</v>
      </c>
      <c r="D89" s="140">
        <v>12470</v>
      </c>
      <c r="E89" s="139"/>
      <c r="F89" s="139">
        <v>10152.61</v>
      </c>
      <c r="G89" s="139">
        <f t="shared" si="3"/>
        <v>542942.64</v>
      </c>
    </row>
    <row r="90" spans="1:7" x14ac:dyDescent="0.3">
      <c r="A90" s="141" t="s">
        <v>334</v>
      </c>
      <c r="B90" s="138">
        <v>2</v>
      </c>
      <c r="C90" s="139">
        <f t="shared" si="4"/>
        <v>20584.150000000001</v>
      </c>
      <c r="D90" s="140">
        <v>10310</v>
      </c>
      <c r="E90" s="139"/>
      <c r="F90" s="139">
        <v>10274.15</v>
      </c>
      <c r="G90" s="139">
        <f t="shared" si="3"/>
        <v>494019.60000000003</v>
      </c>
    </row>
    <row r="91" spans="1:7" x14ac:dyDescent="0.3">
      <c r="A91" s="141" t="s">
        <v>335</v>
      </c>
      <c r="B91" s="138">
        <v>1</v>
      </c>
      <c r="C91" s="139">
        <f t="shared" si="4"/>
        <v>20245.97</v>
      </c>
      <c r="D91" s="140">
        <v>10000</v>
      </c>
      <c r="E91" s="139"/>
      <c r="F91" s="139">
        <v>10245.969999999999</v>
      </c>
      <c r="G91" s="139">
        <f t="shared" si="3"/>
        <v>242951.64</v>
      </c>
    </row>
    <row r="92" spans="1:7" x14ac:dyDescent="0.3">
      <c r="A92" s="141" t="s">
        <v>449</v>
      </c>
      <c r="B92" s="138">
        <v>1</v>
      </c>
      <c r="C92" s="139">
        <f>SUM(D92:F92)</f>
        <v>17996.36</v>
      </c>
      <c r="D92" s="140">
        <v>12470</v>
      </c>
      <c r="E92" s="139"/>
      <c r="F92" s="139">
        <v>5526.36</v>
      </c>
      <c r="G92" s="139">
        <f>C92*B92*12</f>
        <v>215956.32</v>
      </c>
    </row>
    <row r="93" spans="1:7" ht="39.6" x14ac:dyDescent="0.3">
      <c r="A93" s="142" t="s">
        <v>336</v>
      </c>
      <c r="B93" s="138">
        <v>1</v>
      </c>
      <c r="C93" s="139">
        <f t="shared" si="4"/>
        <v>23697.33</v>
      </c>
      <c r="D93" s="140">
        <v>13360</v>
      </c>
      <c r="E93" s="139"/>
      <c r="F93" s="139">
        <v>10337.33</v>
      </c>
      <c r="G93" s="139">
        <f t="shared" si="3"/>
        <v>284367.96000000002</v>
      </c>
    </row>
    <row r="94" spans="1:7" x14ac:dyDescent="0.3">
      <c r="A94" s="141" t="s">
        <v>337</v>
      </c>
      <c r="B94" s="138">
        <v>2</v>
      </c>
      <c r="C94" s="139">
        <f t="shared" si="4"/>
        <v>22349.48</v>
      </c>
      <c r="D94" s="140">
        <v>12000</v>
      </c>
      <c r="E94" s="139"/>
      <c r="F94" s="139">
        <v>10349.48</v>
      </c>
      <c r="G94" s="139">
        <f t="shared" si="3"/>
        <v>536387.52</v>
      </c>
    </row>
    <row r="95" spans="1:7" x14ac:dyDescent="0.3">
      <c r="A95" s="142" t="s">
        <v>338</v>
      </c>
      <c r="B95" s="138">
        <v>4</v>
      </c>
      <c r="C95" s="139">
        <f t="shared" si="4"/>
        <v>23056.82</v>
      </c>
      <c r="D95" s="140">
        <v>12500</v>
      </c>
      <c r="E95" s="139"/>
      <c r="F95" s="139">
        <v>10556.82</v>
      </c>
      <c r="G95" s="139">
        <f t="shared" si="3"/>
        <v>1106727.3599999999</v>
      </c>
    </row>
    <row r="96" spans="1:7" ht="18" customHeight="1" x14ac:dyDescent="0.3">
      <c r="A96" s="123" t="s">
        <v>339</v>
      </c>
      <c r="B96" s="120">
        <v>1</v>
      </c>
      <c r="C96" s="121">
        <f t="shared" si="4"/>
        <v>23627.239999999998</v>
      </c>
      <c r="D96" s="125">
        <v>13360</v>
      </c>
      <c r="E96" s="121"/>
      <c r="F96" s="121">
        <v>10267.24</v>
      </c>
      <c r="G96" s="121">
        <f t="shared" si="3"/>
        <v>283526.88</v>
      </c>
    </row>
    <row r="97" spans="1:7" x14ac:dyDescent="0.3">
      <c r="A97" s="141" t="s">
        <v>340</v>
      </c>
      <c r="B97" s="138">
        <v>0.5</v>
      </c>
      <c r="C97" s="139">
        <f t="shared" si="4"/>
        <v>10310</v>
      </c>
      <c r="D97" s="140">
        <v>10310</v>
      </c>
      <c r="E97" s="139"/>
      <c r="F97" s="139"/>
      <c r="G97" s="139">
        <f t="shared" si="3"/>
        <v>61860</v>
      </c>
    </row>
    <row r="98" spans="1:7" ht="39.6" x14ac:dyDescent="0.3">
      <c r="A98" s="142" t="s">
        <v>341</v>
      </c>
      <c r="B98" s="138">
        <v>1</v>
      </c>
      <c r="C98" s="139">
        <f t="shared" si="4"/>
        <v>25063.97</v>
      </c>
      <c r="D98" s="143">
        <v>14500</v>
      </c>
      <c r="E98" s="139"/>
      <c r="F98" s="139">
        <v>10563.97</v>
      </c>
      <c r="G98" s="139">
        <f t="shared" si="3"/>
        <v>300767.64</v>
      </c>
    </row>
    <row r="99" spans="1:7" x14ac:dyDescent="0.3">
      <c r="A99" s="141" t="s">
        <v>342</v>
      </c>
      <c r="B99" s="138">
        <v>4</v>
      </c>
      <c r="C99" s="139">
        <f t="shared" si="4"/>
        <v>22596.25</v>
      </c>
      <c r="D99" s="143">
        <v>12000</v>
      </c>
      <c r="E99" s="139"/>
      <c r="F99" s="139">
        <v>10596.25</v>
      </c>
      <c r="G99" s="139">
        <f t="shared" si="3"/>
        <v>1084620</v>
      </c>
    </row>
    <row r="100" spans="1:7" x14ac:dyDescent="0.3">
      <c r="A100" s="141" t="s">
        <v>343</v>
      </c>
      <c r="B100" s="138">
        <v>2</v>
      </c>
      <c r="C100" s="139">
        <f t="shared" si="4"/>
        <v>21545.190000000002</v>
      </c>
      <c r="D100" s="143">
        <v>11000</v>
      </c>
      <c r="E100" s="139"/>
      <c r="F100" s="139">
        <v>10545.19</v>
      </c>
      <c r="G100" s="139">
        <f t="shared" si="3"/>
        <v>517084.56000000006</v>
      </c>
    </row>
    <row r="101" spans="1:7" x14ac:dyDescent="0.3">
      <c r="A101" s="141" t="s">
        <v>344</v>
      </c>
      <c r="B101" s="138">
        <v>1.5</v>
      </c>
      <c r="C101" s="139">
        <f t="shared" si="4"/>
        <v>21278.739999999998</v>
      </c>
      <c r="D101" s="143">
        <v>10310</v>
      </c>
      <c r="E101" s="139"/>
      <c r="F101" s="139">
        <v>10968.74</v>
      </c>
      <c r="G101" s="139">
        <f t="shared" si="3"/>
        <v>383017.31999999995</v>
      </c>
    </row>
    <row r="102" spans="1:7" ht="26.4" x14ac:dyDescent="0.3">
      <c r="A102" s="142" t="s">
        <v>345</v>
      </c>
      <c r="B102" s="138">
        <v>1</v>
      </c>
      <c r="C102" s="139">
        <f t="shared" si="4"/>
        <v>22715.47</v>
      </c>
      <c r="D102" s="143">
        <v>11720</v>
      </c>
      <c r="E102" s="139"/>
      <c r="F102" s="139">
        <v>10995.47</v>
      </c>
      <c r="G102" s="139">
        <f t="shared" si="3"/>
        <v>272585.64</v>
      </c>
    </row>
    <row r="103" spans="1:7" x14ac:dyDescent="0.3">
      <c r="A103" s="141" t="s">
        <v>346</v>
      </c>
      <c r="B103" s="138">
        <v>1</v>
      </c>
      <c r="C103" s="139">
        <f t="shared" si="4"/>
        <v>20863.98</v>
      </c>
      <c r="D103" s="143">
        <v>10310</v>
      </c>
      <c r="E103" s="139"/>
      <c r="F103" s="139">
        <v>10553.98</v>
      </c>
      <c r="G103" s="139">
        <f t="shared" si="3"/>
        <v>250367.76</v>
      </c>
    </row>
    <row r="104" spans="1:7" x14ac:dyDescent="0.3">
      <c r="A104" s="141" t="s">
        <v>347</v>
      </c>
      <c r="B104" s="138">
        <v>1</v>
      </c>
      <c r="C104" s="139">
        <f t="shared" si="4"/>
        <v>21212.010000000002</v>
      </c>
      <c r="D104" s="143">
        <v>10310</v>
      </c>
      <c r="E104" s="139"/>
      <c r="F104" s="139">
        <v>10902.01</v>
      </c>
      <c r="G104" s="139">
        <f t="shared" si="3"/>
        <v>254544.12000000002</v>
      </c>
    </row>
    <row r="105" spans="1:7" ht="26.4" x14ac:dyDescent="0.3">
      <c r="A105" s="142" t="s">
        <v>348</v>
      </c>
      <c r="B105" s="138">
        <v>1</v>
      </c>
      <c r="C105" s="139">
        <f t="shared" si="4"/>
        <v>21259.98</v>
      </c>
      <c r="D105" s="143">
        <v>10310</v>
      </c>
      <c r="E105" s="139"/>
      <c r="F105" s="139">
        <v>10949.98</v>
      </c>
      <c r="G105" s="139">
        <f t="shared" si="3"/>
        <v>255119.76</v>
      </c>
    </row>
    <row r="106" spans="1:7" x14ac:dyDescent="0.3">
      <c r="A106" s="141" t="s">
        <v>349</v>
      </c>
      <c r="B106" s="138">
        <v>4</v>
      </c>
      <c r="C106" s="139">
        <f t="shared" si="4"/>
        <v>20836.43</v>
      </c>
      <c r="D106" s="143">
        <v>10310</v>
      </c>
      <c r="E106" s="139"/>
      <c r="F106" s="139">
        <v>10526.43</v>
      </c>
      <c r="G106" s="139">
        <f t="shared" si="3"/>
        <v>1000148.64</v>
      </c>
    </row>
    <row r="107" spans="1:7" ht="14.4" customHeight="1" x14ac:dyDescent="0.3">
      <c r="A107" s="141" t="s">
        <v>350</v>
      </c>
      <c r="B107" s="138">
        <v>3</v>
      </c>
      <c r="C107" s="139">
        <f t="shared" si="4"/>
        <v>19809.8</v>
      </c>
      <c r="D107" s="143">
        <v>9250</v>
      </c>
      <c r="E107" s="139"/>
      <c r="F107" s="139">
        <v>10559.8</v>
      </c>
      <c r="G107" s="139">
        <f t="shared" si="3"/>
        <v>713152.79999999993</v>
      </c>
    </row>
    <row r="108" spans="1:7" ht="24" customHeight="1" x14ac:dyDescent="0.3">
      <c r="A108" s="142" t="s">
        <v>386</v>
      </c>
      <c r="B108" s="138">
        <v>10.5</v>
      </c>
      <c r="C108" s="139">
        <f t="shared" si="4"/>
        <v>21233.58</v>
      </c>
      <c r="D108" s="143">
        <v>10310</v>
      </c>
      <c r="E108" s="139"/>
      <c r="F108" s="139">
        <v>10923.58</v>
      </c>
      <c r="G108" s="139">
        <f t="shared" si="3"/>
        <v>2675431.08</v>
      </c>
    </row>
    <row r="109" spans="1:7" x14ac:dyDescent="0.3">
      <c r="A109" s="141" t="s">
        <v>351</v>
      </c>
      <c r="B109" s="138">
        <v>1.5</v>
      </c>
      <c r="C109" s="139">
        <f t="shared" si="4"/>
        <v>21266</v>
      </c>
      <c r="D109" s="143">
        <v>10310</v>
      </c>
      <c r="E109" s="139"/>
      <c r="F109" s="139">
        <v>10956</v>
      </c>
      <c r="G109" s="139">
        <f>C109*B109*12</f>
        <v>382788</v>
      </c>
    </row>
    <row r="110" spans="1:7" ht="27" customHeight="1" x14ac:dyDescent="0.3">
      <c r="A110" s="144" t="s">
        <v>352</v>
      </c>
      <c r="B110" s="145">
        <v>1</v>
      </c>
      <c r="C110" s="139">
        <f t="shared" si="4"/>
        <v>20075.79</v>
      </c>
      <c r="D110" s="146">
        <v>9250</v>
      </c>
      <c r="E110" s="139"/>
      <c r="F110" s="139">
        <v>10825.79</v>
      </c>
      <c r="G110" s="139">
        <f>C110*B110*12+0.06</f>
        <v>240909.54</v>
      </c>
    </row>
    <row r="111" spans="1:7" ht="15" customHeight="1" x14ac:dyDescent="0.3">
      <c r="A111" s="141" t="s">
        <v>353</v>
      </c>
      <c r="B111" s="138">
        <v>1</v>
      </c>
      <c r="C111" s="139">
        <f t="shared" si="4"/>
        <v>12470</v>
      </c>
      <c r="D111" s="143">
        <v>12470</v>
      </c>
      <c r="E111" s="139"/>
      <c r="F111" s="139"/>
      <c r="G111" s="139">
        <f t="shared" ref="G111:G116" si="5">C111*B111*12</f>
        <v>149640</v>
      </c>
    </row>
    <row r="112" spans="1:7" x14ac:dyDescent="0.3">
      <c r="A112" s="141" t="s">
        <v>354</v>
      </c>
      <c r="B112" s="138">
        <v>2</v>
      </c>
      <c r="C112" s="139">
        <f t="shared" si="4"/>
        <v>21588.48</v>
      </c>
      <c r="D112" s="143">
        <v>10770</v>
      </c>
      <c r="E112" s="139"/>
      <c r="F112" s="139">
        <v>10818.48</v>
      </c>
      <c r="G112" s="139">
        <f t="shared" si="5"/>
        <v>518123.52000000002</v>
      </c>
    </row>
    <row r="113" spans="1:8" x14ac:dyDescent="0.3">
      <c r="A113" s="141" t="s">
        <v>355</v>
      </c>
      <c r="B113" s="138">
        <v>1</v>
      </c>
      <c r="C113" s="139">
        <f t="shared" si="4"/>
        <v>11240</v>
      </c>
      <c r="D113" s="143">
        <v>11240</v>
      </c>
      <c r="E113" s="139"/>
      <c r="F113" s="139"/>
      <c r="G113" s="139">
        <f t="shared" si="5"/>
        <v>134880</v>
      </c>
    </row>
    <row r="114" spans="1:8" ht="16.95" customHeight="1" x14ac:dyDescent="0.3">
      <c r="A114" s="147" t="s">
        <v>356</v>
      </c>
      <c r="B114" s="134">
        <v>1</v>
      </c>
      <c r="C114" s="135">
        <f t="shared" si="4"/>
        <v>23019.53</v>
      </c>
      <c r="D114" s="136">
        <v>12500</v>
      </c>
      <c r="E114" s="135"/>
      <c r="F114" s="135">
        <v>10519.53</v>
      </c>
      <c r="G114" s="135">
        <f t="shared" si="5"/>
        <v>276234.36</v>
      </c>
    </row>
    <row r="115" spans="1:8" x14ac:dyDescent="0.3">
      <c r="A115" s="123" t="s">
        <v>357</v>
      </c>
      <c r="B115" s="126">
        <v>3</v>
      </c>
      <c r="C115" s="121">
        <f t="shared" si="4"/>
        <v>21523.25</v>
      </c>
      <c r="D115" s="125">
        <v>11500</v>
      </c>
      <c r="E115" s="121"/>
      <c r="F115" s="121">
        <v>10023.25</v>
      </c>
      <c r="G115" s="121">
        <f t="shared" si="5"/>
        <v>774837</v>
      </c>
    </row>
    <row r="116" spans="1:8" ht="25.5" customHeight="1" x14ac:dyDescent="0.3">
      <c r="A116" s="131" t="s">
        <v>358</v>
      </c>
      <c r="B116" s="126">
        <v>1</v>
      </c>
      <c r="C116" s="121">
        <f t="shared" si="4"/>
        <v>22659.86</v>
      </c>
      <c r="D116" s="125">
        <v>12470</v>
      </c>
      <c r="E116" s="121"/>
      <c r="F116" s="121">
        <v>10189.86</v>
      </c>
      <c r="G116" s="121">
        <f t="shared" si="5"/>
        <v>271918.32</v>
      </c>
    </row>
    <row r="117" spans="1:8" ht="15.75" customHeight="1" x14ac:dyDescent="0.3">
      <c r="A117" s="123" t="s">
        <v>145</v>
      </c>
      <c r="B117" s="129">
        <f>SUM(B23:B116)</f>
        <v>222</v>
      </c>
      <c r="C117" s="433"/>
      <c r="D117" s="433"/>
      <c r="E117" s="433"/>
      <c r="F117" s="433"/>
      <c r="G117" s="148">
        <f>SUM(G23:G116)</f>
        <v>78404425.679999992</v>
      </c>
    </row>
    <row r="118" spans="1:8" ht="16.5" hidden="1" customHeight="1" x14ac:dyDescent="0.3">
      <c r="A118" s="6"/>
      <c r="G118" s="44">
        <f>'гос.зад на 2022 год '!D23+'гос.зад на 2022 год '!D61</f>
        <v>78404425.679999992</v>
      </c>
      <c r="H118" s="44"/>
    </row>
    <row r="119" spans="1:8" ht="16.5" customHeight="1" x14ac:dyDescent="0.3">
      <c r="A119" s="6"/>
      <c r="G119" s="44"/>
      <c r="H119" s="44"/>
    </row>
    <row r="120" spans="1:8" ht="15.6" customHeight="1" x14ac:dyDescent="0.3">
      <c r="A120" s="415" t="s">
        <v>179</v>
      </c>
      <c r="B120" s="415"/>
      <c r="C120" s="415"/>
      <c r="D120" s="415"/>
      <c r="E120" s="415"/>
      <c r="F120" s="415"/>
      <c r="G120" s="415"/>
    </row>
    <row r="121" spans="1:8" ht="18" customHeight="1" x14ac:dyDescent="0.3">
      <c r="A121" s="102"/>
      <c r="B121" s="102"/>
      <c r="C121" s="102"/>
      <c r="D121" s="102"/>
      <c r="E121" s="102"/>
      <c r="F121" s="102"/>
      <c r="G121" s="102"/>
    </row>
    <row r="122" spans="1:8" ht="18" x14ac:dyDescent="0.35">
      <c r="A122" s="7" t="s">
        <v>144</v>
      </c>
      <c r="B122" s="8">
        <v>119</v>
      </c>
    </row>
    <row r="123" spans="1:8" ht="15" x14ac:dyDescent="0.3">
      <c r="A123" s="9"/>
    </row>
    <row r="124" spans="1:8" ht="28.2" customHeight="1" x14ac:dyDescent="0.3">
      <c r="A124" s="416" t="s">
        <v>83</v>
      </c>
      <c r="B124" s="416" t="s">
        <v>243</v>
      </c>
      <c r="C124" s="416"/>
      <c r="D124" s="416" t="s">
        <v>184</v>
      </c>
      <c r="E124" s="416"/>
      <c r="F124" s="416" t="s">
        <v>84</v>
      </c>
      <c r="G124" s="416"/>
    </row>
    <row r="125" spans="1:8" ht="26.4" customHeight="1" x14ac:dyDescent="0.3">
      <c r="A125" s="416"/>
      <c r="B125" s="416"/>
      <c r="C125" s="416"/>
      <c r="D125" s="416"/>
      <c r="E125" s="416"/>
      <c r="F125" s="416"/>
      <c r="G125" s="416"/>
    </row>
    <row r="126" spans="1:8" ht="18" x14ac:dyDescent="0.3">
      <c r="A126" s="97">
        <v>1</v>
      </c>
      <c r="B126" s="416">
        <v>2</v>
      </c>
      <c r="C126" s="416"/>
      <c r="D126" s="416">
        <v>3</v>
      </c>
      <c r="E126" s="416"/>
      <c r="F126" s="416">
        <v>4</v>
      </c>
      <c r="G126" s="416"/>
    </row>
    <row r="127" spans="1:8" ht="18" x14ac:dyDescent="0.3">
      <c r="A127" s="112">
        <f>B117</f>
        <v>222</v>
      </c>
      <c r="B127" s="417">
        <f>'гос.зад на 2022 год '!D23+'гос.зад на 2022 год '!D25+'гос.зад на 2022 год '!D61</f>
        <v>101972453.36999999</v>
      </c>
      <c r="C127" s="417"/>
      <c r="D127" s="417">
        <f>G117</f>
        <v>78404425.679999992</v>
      </c>
      <c r="E127" s="417"/>
      <c r="F127" s="417">
        <f>B127-D127</f>
        <v>23568027.689999998</v>
      </c>
      <c r="G127" s="417"/>
    </row>
    <row r="128" spans="1:8" ht="18.600000000000001" customHeight="1" x14ac:dyDescent="0.3">
      <c r="A128" s="6"/>
    </row>
    <row r="129" spans="1:7" ht="42" hidden="1" customHeight="1" x14ac:dyDescent="0.3">
      <c r="A129" s="424" t="s">
        <v>202</v>
      </c>
      <c r="B129" s="424"/>
      <c r="C129" s="424"/>
      <c r="D129" s="424"/>
      <c r="E129" s="424"/>
      <c r="F129" s="424"/>
      <c r="G129" s="424"/>
    </row>
    <row r="130" spans="1:7" ht="18" hidden="1" customHeight="1" x14ac:dyDescent="0.3">
      <c r="A130" s="7"/>
    </row>
    <row r="131" spans="1:7" ht="18" hidden="1" x14ac:dyDescent="0.35">
      <c r="A131" s="7" t="s">
        <v>146</v>
      </c>
      <c r="B131" s="8">
        <v>112</v>
      </c>
    </row>
    <row r="132" spans="1:7" ht="15" hidden="1" x14ac:dyDescent="0.3">
      <c r="A132" s="9"/>
    </row>
    <row r="133" spans="1:7" ht="54.6" hidden="1" customHeight="1" x14ac:dyDescent="0.3">
      <c r="A133" s="204" t="s">
        <v>85</v>
      </c>
      <c r="B133" s="204" t="s">
        <v>86</v>
      </c>
      <c r="C133" s="416" t="s">
        <v>87</v>
      </c>
      <c r="D133" s="416"/>
      <c r="E133" s="204" t="s">
        <v>88</v>
      </c>
      <c r="F133" s="416" t="s">
        <v>89</v>
      </c>
      <c r="G133" s="416"/>
    </row>
    <row r="134" spans="1:7" ht="18" hidden="1" x14ac:dyDescent="0.3">
      <c r="A134" s="204">
        <v>1</v>
      </c>
      <c r="B134" s="204">
        <v>2</v>
      </c>
      <c r="C134" s="416">
        <v>3</v>
      </c>
      <c r="D134" s="416"/>
      <c r="E134" s="204">
        <v>4</v>
      </c>
      <c r="F134" s="416">
        <v>5</v>
      </c>
      <c r="G134" s="416"/>
    </row>
    <row r="135" spans="1:7" ht="22.95" hidden="1" customHeight="1" x14ac:dyDescent="0.3">
      <c r="A135" s="203" t="s">
        <v>90</v>
      </c>
      <c r="B135" s="205">
        <v>8</v>
      </c>
      <c r="C135" s="416">
        <v>50</v>
      </c>
      <c r="D135" s="416"/>
      <c r="E135" s="205">
        <v>10</v>
      </c>
      <c r="F135" s="417">
        <f>'гос.зад на 2022 год '!E24</f>
        <v>0</v>
      </c>
      <c r="G135" s="417"/>
    </row>
    <row r="136" spans="1:7" ht="18.600000000000001" customHeight="1" x14ac:dyDescent="0.3">
      <c r="A136" s="13"/>
      <c r="B136" s="14"/>
      <c r="C136" s="17"/>
      <c r="D136" s="17"/>
      <c r="E136" s="18"/>
      <c r="F136" s="75"/>
      <c r="G136" s="75"/>
    </row>
    <row r="137" spans="1:7" ht="43.2" customHeight="1" x14ac:dyDescent="0.3">
      <c r="A137" s="424" t="s">
        <v>206</v>
      </c>
      <c r="B137" s="424"/>
      <c r="C137" s="424"/>
      <c r="D137" s="424"/>
      <c r="E137" s="424"/>
      <c r="F137" s="424"/>
      <c r="G137" s="424"/>
    </row>
    <row r="138" spans="1:7" ht="17.399999999999999" x14ac:dyDescent="0.3">
      <c r="A138" s="101"/>
      <c r="B138" s="101"/>
      <c r="C138" s="101"/>
      <c r="D138" s="101"/>
      <c r="E138" s="101"/>
      <c r="F138" s="101"/>
      <c r="G138" s="101"/>
    </row>
    <row r="139" spans="1:7" ht="19.2" customHeight="1" x14ac:dyDescent="0.3">
      <c r="A139" s="7" t="s">
        <v>144</v>
      </c>
      <c r="B139" s="7">
        <v>111</v>
      </c>
    </row>
    <row r="140" spans="1:7" ht="15" x14ac:dyDescent="0.3">
      <c r="A140" s="9"/>
    </row>
    <row r="141" spans="1:7" ht="99" customHeight="1" x14ac:dyDescent="0.3">
      <c r="A141" s="408" t="s">
        <v>85</v>
      </c>
      <c r="B141" s="409"/>
      <c r="C141" s="409"/>
      <c r="D141" s="410"/>
      <c r="E141" s="371" t="s">
        <v>98</v>
      </c>
      <c r="F141" s="371" t="s">
        <v>99</v>
      </c>
      <c r="G141" s="371" t="s">
        <v>100</v>
      </c>
    </row>
    <row r="142" spans="1:7" ht="18" x14ac:dyDescent="0.35">
      <c r="A142" s="408">
        <v>1</v>
      </c>
      <c r="B142" s="409"/>
      <c r="C142" s="409"/>
      <c r="D142" s="410"/>
      <c r="E142" s="373">
        <v>2</v>
      </c>
      <c r="F142" s="373">
        <v>3</v>
      </c>
      <c r="G142" s="375">
        <v>4</v>
      </c>
    </row>
    <row r="143" spans="1:7" ht="30" customHeight="1" x14ac:dyDescent="0.3">
      <c r="A143" s="411" t="s">
        <v>101</v>
      </c>
      <c r="B143" s="411"/>
      <c r="C143" s="411"/>
      <c r="D143" s="411"/>
      <c r="E143" s="372">
        <v>60</v>
      </c>
      <c r="F143" s="374">
        <f>G143/E143</f>
        <v>5399.8968333333332</v>
      </c>
      <c r="G143" s="377">
        <f>'гос.зад на 2022 год '!E61</f>
        <v>323993.81</v>
      </c>
    </row>
    <row r="144" spans="1:7" ht="18" x14ac:dyDescent="0.3">
      <c r="A144" s="13"/>
      <c r="B144" s="14"/>
      <c r="C144" s="14"/>
      <c r="D144" s="14"/>
      <c r="E144" s="14"/>
      <c r="F144" s="15"/>
      <c r="G144" s="15"/>
    </row>
    <row r="145" spans="1:7" ht="22.5" hidden="1" customHeight="1" x14ac:dyDescent="0.35">
      <c r="A145" s="7" t="s">
        <v>144</v>
      </c>
      <c r="B145" s="8">
        <v>119</v>
      </c>
    </row>
    <row r="146" spans="1:7" ht="22.5" hidden="1" customHeight="1" x14ac:dyDescent="0.3">
      <c r="A146" s="9"/>
    </row>
    <row r="147" spans="1:7" ht="98.25" hidden="1" customHeight="1" x14ac:dyDescent="0.3">
      <c r="A147" s="408" t="s">
        <v>85</v>
      </c>
      <c r="B147" s="409"/>
      <c r="C147" s="410"/>
      <c r="D147" s="378" t="s">
        <v>98</v>
      </c>
      <c r="E147" s="372" t="s">
        <v>102</v>
      </c>
      <c r="F147" s="213" t="s">
        <v>103</v>
      </c>
      <c r="G147" s="371" t="s">
        <v>89</v>
      </c>
    </row>
    <row r="148" spans="1:7" ht="22.5" hidden="1" customHeight="1" x14ac:dyDescent="0.3">
      <c r="A148" s="408">
        <v>1</v>
      </c>
      <c r="B148" s="409"/>
      <c r="C148" s="410"/>
      <c r="D148" s="372">
        <v>2</v>
      </c>
      <c r="E148" s="372">
        <v>3</v>
      </c>
      <c r="F148" s="373">
        <v>4</v>
      </c>
      <c r="G148" s="372">
        <v>5</v>
      </c>
    </row>
    <row r="149" spans="1:7" ht="50.25" hidden="1" customHeight="1" x14ac:dyDescent="0.3">
      <c r="A149" s="412" t="s">
        <v>492</v>
      </c>
      <c r="B149" s="413"/>
      <c r="C149" s="414"/>
      <c r="D149" s="376">
        <v>1</v>
      </c>
      <c r="E149" s="372">
        <v>2</v>
      </c>
      <c r="F149" s="373"/>
      <c r="G149" s="374"/>
    </row>
    <row r="150" spans="1:7" ht="16.5" customHeight="1" x14ac:dyDescent="0.3">
      <c r="A150" s="26"/>
      <c r="B150" s="14"/>
      <c r="C150" s="17"/>
      <c r="D150" s="17"/>
      <c r="E150" s="17"/>
      <c r="F150" s="305"/>
      <c r="G150" s="305"/>
    </row>
    <row r="151" spans="1:7" ht="17.399999999999999" hidden="1" x14ac:dyDescent="0.3">
      <c r="A151" s="415" t="s">
        <v>207</v>
      </c>
      <c r="B151" s="415"/>
      <c r="C151" s="415"/>
      <c r="D151" s="415"/>
      <c r="E151" s="415"/>
      <c r="F151" s="415"/>
      <c r="G151" s="415"/>
    </row>
    <row r="152" spans="1:7" ht="18" hidden="1" customHeight="1" x14ac:dyDescent="0.3">
      <c r="A152" s="16"/>
    </row>
    <row r="153" spans="1:7" ht="18.600000000000001" hidden="1" customHeight="1" x14ac:dyDescent="0.35">
      <c r="A153" s="7" t="s">
        <v>146</v>
      </c>
      <c r="B153" s="8">
        <v>321</v>
      </c>
    </row>
    <row r="154" spans="1:7" ht="16.95" hidden="1" customHeight="1" x14ac:dyDescent="0.3">
      <c r="A154" s="9"/>
    </row>
    <row r="155" spans="1:7" ht="78.75" hidden="1" customHeight="1" x14ac:dyDescent="0.3">
      <c r="A155" s="408" t="s">
        <v>85</v>
      </c>
      <c r="B155" s="409"/>
      <c r="C155" s="410"/>
      <c r="D155" s="272" t="s">
        <v>105</v>
      </c>
      <c r="E155" s="272" t="s">
        <v>106</v>
      </c>
      <c r="F155" s="416" t="s">
        <v>107</v>
      </c>
      <c r="G155" s="416"/>
    </row>
    <row r="156" spans="1:7" ht="18" hidden="1" x14ac:dyDescent="0.3">
      <c r="A156" s="408">
        <v>1</v>
      </c>
      <c r="B156" s="409"/>
      <c r="C156" s="410"/>
      <c r="D156" s="273">
        <v>2</v>
      </c>
      <c r="E156" s="273">
        <v>3</v>
      </c>
      <c r="F156" s="408">
        <v>4</v>
      </c>
      <c r="G156" s="410"/>
    </row>
    <row r="157" spans="1:7" ht="60" hidden="1" customHeight="1" x14ac:dyDescent="0.3">
      <c r="A157" s="412" t="s">
        <v>27</v>
      </c>
      <c r="B157" s="413"/>
      <c r="C157" s="414"/>
      <c r="D157" s="274"/>
      <c r="E157" s="272">
        <v>1</v>
      </c>
      <c r="F157" s="417">
        <f>'гос.зад на 2022 год '!D58</f>
        <v>0</v>
      </c>
      <c r="G157" s="417"/>
    </row>
    <row r="158" spans="1:7" ht="21" customHeight="1" x14ac:dyDescent="0.3">
      <c r="A158" s="26"/>
      <c r="B158" s="26"/>
      <c r="C158" s="26"/>
      <c r="D158" s="340"/>
      <c r="E158" s="17"/>
      <c r="F158" s="305"/>
      <c r="G158" s="305"/>
    </row>
    <row r="159" spans="1:7" ht="21" hidden="1" customHeight="1" x14ac:dyDescent="0.3">
      <c r="A159" s="415" t="s">
        <v>463</v>
      </c>
      <c r="B159" s="415"/>
      <c r="C159" s="415"/>
      <c r="D159" s="415"/>
      <c r="E159" s="415"/>
      <c r="F159" s="415"/>
      <c r="G159" s="415"/>
    </row>
    <row r="160" spans="1:7" ht="21" hidden="1" customHeight="1" x14ac:dyDescent="0.3">
      <c r="A160" s="16"/>
    </row>
    <row r="161" spans="1:7" ht="21" hidden="1" customHeight="1" x14ac:dyDescent="0.35">
      <c r="A161" s="7" t="s">
        <v>146</v>
      </c>
      <c r="B161" s="8">
        <v>119</v>
      </c>
    </row>
    <row r="162" spans="1:7" ht="15" hidden="1" x14ac:dyDescent="0.3">
      <c r="A162" s="9"/>
    </row>
    <row r="163" spans="1:7" ht="18" hidden="1" x14ac:dyDescent="0.3">
      <c r="A163" s="343" t="s">
        <v>85</v>
      </c>
      <c r="B163" s="416" t="s">
        <v>105</v>
      </c>
      <c r="C163" s="416"/>
      <c r="D163" s="416" t="s">
        <v>106</v>
      </c>
      <c r="E163" s="416"/>
      <c r="F163" s="416" t="s">
        <v>107</v>
      </c>
      <c r="G163" s="416"/>
    </row>
    <row r="164" spans="1:7" ht="18" hidden="1" x14ac:dyDescent="0.3">
      <c r="A164" s="343">
        <v>1</v>
      </c>
      <c r="B164" s="408">
        <v>2</v>
      </c>
      <c r="C164" s="410"/>
      <c r="D164" s="408">
        <v>3</v>
      </c>
      <c r="E164" s="410"/>
      <c r="F164" s="408">
        <v>4</v>
      </c>
      <c r="G164" s="410"/>
    </row>
    <row r="165" spans="1:7" ht="180" hidden="1" x14ac:dyDescent="0.3">
      <c r="A165" s="341" t="s">
        <v>462</v>
      </c>
      <c r="B165" s="416">
        <v>6424.98</v>
      </c>
      <c r="C165" s="416"/>
      <c r="D165" s="416">
        <v>2</v>
      </c>
      <c r="E165" s="416"/>
      <c r="F165" s="417">
        <f>'гос.зад на 2022 год '!E59</f>
        <v>0</v>
      </c>
      <c r="G165" s="417"/>
    </row>
    <row r="166" spans="1:7" ht="20.25" hidden="1" customHeight="1" x14ac:dyDescent="0.3">
      <c r="A166" s="26"/>
      <c r="B166" s="26"/>
      <c r="C166" s="26"/>
      <c r="D166" s="340"/>
      <c r="E166" s="17"/>
      <c r="F166" s="305"/>
      <c r="G166" s="305"/>
    </row>
    <row r="167" spans="1:7" ht="17.399999999999999" x14ac:dyDescent="0.3">
      <c r="A167" s="424" t="s">
        <v>225</v>
      </c>
      <c r="B167" s="424"/>
      <c r="C167" s="424"/>
      <c r="D167" s="424"/>
      <c r="E167" s="424"/>
      <c r="F167" s="424"/>
      <c r="G167" s="424"/>
    </row>
    <row r="168" spans="1:7" ht="27.75" customHeight="1" x14ac:dyDescent="0.3">
      <c r="A168" s="324"/>
      <c r="B168" s="324"/>
      <c r="C168" s="324"/>
      <c r="D168" s="324"/>
      <c r="E168" s="324"/>
      <c r="F168" s="324"/>
      <c r="G168" s="324"/>
    </row>
    <row r="169" spans="1:7" ht="18" customHeight="1" x14ac:dyDescent="0.35">
      <c r="A169" s="7" t="s">
        <v>144</v>
      </c>
      <c r="B169" s="8">
        <v>851</v>
      </c>
    </row>
    <row r="170" spans="1:7" ht="18" customHeight="1" x14ac:dyDescent="0.3">
      <c r="A170" s="9"/>
    </row>
    <row r="171" spans="1:7" ht="18" x14ac:dyDescent="0.3">
      <c r="A171" s="97" t="s">
        <v>85</v>
      </c>
      <c r="B171" s="416" t="s">
        <v>108</v>
      </c>
      <c r="C171" s="416"/>
      <c r="D171" s="416" t="s">
        <v>109</v>
      </c>
      <c r="E171" s="416"/>
      <c r="F171" s="416" t="s">
        <v>110</v>
      </c>
      <c r="G171" s="416"/>
    </row>
    <row r="172" spans="1:7" ht="21" customHeight="1" x14ac:dyDescent="0.3">
      <c r="A172" s="118">
        <v>1</v>
      </c>
      <c r="B172" s="428">
        <v>2</v>
      </c>
      <c r="C172" s="429"/>
      <c r="D172" s="430">
        <v>3</v>
      </c>
      <c r="E172" s="431"/>
      <c r="F172" s="430">
        <v>4</v>
      </c>
      <c r="G172" s="431"/>
    </row>
    <row r="173" spans="1:7" ht="36" x14ac:dyDescent="0.3">
      <c r="A173" s="11" t="s">
        <v>111</v>
      </c>
      <c r="B173" s="425">
        <v>2063701.82</v>
      </c>
      <c r="C173" s="425"/>
      <c r="D173" s="426">
        <v>2.2000000000000002</v>
      </c>
      <c r="E173" s="426"/>
      <c r="F173" s="427">
        <f>B173*D173%</f>
        <v>45401.440040000009</v>
      </c>
      <c r="G173" s="427"/>
    </row>
    <row r="174" spans="1:7" ht="24.75" customHeight="1" x14ac:dyDescent="0.3">
      <c r="A174" s="411" t="s">
        <v>112</v>
      </c>
      <c r="B174" s="425">
        <v>16752525</v>
      </c>
      <c r="C174" s="425"/>
      <c r="D174" s="426">
        <v>1.5</v>
      </c>
      <c r="E174" s="426"/>
      <c r="F174" s="427">
        <f>B174*D174%</f>
        <v>251287.875</v>
      </c>
      <c r="G174" s="427"/>
    </row>
    <row r="175" spans="1:7" ht="21.75" customHeight="1" x14ac:dyDescent="0.3">
      <c r="A175" s="411"/>
      <c r="B175" s="425">
        <v>7366424</v>
      </c>
      <c r="C175" s="425"/>
      <c r="D175" s="426">
        <v>0.12</v>
      </c>
      <c r="E175" s="426"/>
      <c r="F175" s="427">
        <f>B175*D175%</f>
        <v>8839.7087999999985</v>
      </c>
      <c r="G175" s="427"/>
    </row>
    <row r="176" spans="1:7" ht="21.75" customHeight="1" x14ac:dyDescent="0.3">
      <c r="A176" s="113" t="s">
        <v>361</v>
      </c>
      <c r="B176" s="425"/>
      <c r="C176" s="425"/>
      <c r="D176" s="426"/>
      <c r="E176" s="426"/>
      <c r="F176" s="417">
        <f>'гос.зад на 2022 год '!D68</f>
        <v>266124</v>
      </c>
      <c r="G176" s="417"/>
    </row>
    <row r="177" spans="1:7" ht="19.5" customHeight="1" x14ac:dyDescent="0.3">
      <c r="A177" s="26"/>
      <c r="B177" s="226"/>
      <c r="C177" s="226"/>
      <c r="D177" s="227"/>
      <c r="E177" s="227"/>
      <c r="F177" s="75"/>
      <c r="G177" s="75"/>
    </row>
    <row r="178" spans="1:7" ht="18" x14ac:dyDescent="0.3">
      <c r="A178" s="7" t="s">
        <v>113</v>
      </c>
    </row>
    <row r="179" spans="1:7" ht="18" customHeight="1" x14ac:dyDescent="0.3">
      <c r="A179" s="9"/>
    </row>
    <row r="180" spans="1:7" ht="18" x14ac:dyDescent="0.3">
      <c r="A180" s="97" t="s">
        <v>85</v>
      </c>
      <c r="B180" s="416" t="s">
        <v>108</v>
      </c>
      <c r="C180" s="416"/>
      <c r="D180" s="416" t="s">
        <v>109</v>
      </c>
      <c r="E180" s="416"/>
      <c r="F180" s="408" t="s">
        <v>114</v>
      </c>
      <c r="G180" s="410"/>
    </row>
    <row r="181" spans="1:7" ht="15.6" customHeight="1" x14ac:dyDescent="0.35">
      <c r="A181" s="97">
        <v>1</v>
      </c>
      <c r="B181" s="408">
        <v>2</v>
      </c>
      <c r="C181" s="410"/>
      <c r="D181" s="408">
        <v>3</v>
      </c>
      <c r="E181" s="410"/>
      <c r="F181" s="422">
        <v>4</v>
      </c>
      <c r="G181" s="423"/>
    </row>
    <row r="182" spans="1:7" ht="39.6" customHeight="1" x14ac:dyDescent="0.3">
      <c r="A182" s="209" t="s">
        <v>115</v>
      </c>
      <c r="B182" s="408" t="s">
        <v>116</v>
      </c>
      <c r="C182" s="410"/>
      <c r="D182" s="408" t="s">
        <v>116</v>
      </c>
      <c r="E182" s="410"/>
      <c r="F182" s="420">
        <f>'гос.зад на 2022 год '!D69</f>
        <v>17344</v>
      </c>
      <c r="G182" s="421"/>
    </row>
    <row r="183" spans="1:7" ht="53.25" customHeight="1" x14ac:dyDescent="0.3">
      <c r="A183" s="7"/>
    </row>
    <row r="184" spans="1:7" ht="18" customHeight="1" x14ac:dyDescent="0.3">
      <c r="A184" s="424" t="s">
        <v>213</v>
      </c>
      <c r="B184" s="424"/>
      <c r="C184" s="424"/>
      <c r="D184" s="424"/>
      <c r="E184" s="424"/>
      <c r="F184" s="424"/>
      <c r="G184" s="424"/>
    </row>
    <row r="185" spans="1:7" ht="17.399999999999999" x14ac:dyDescent="0.3">
      <c r="A185" s="101"/>
      <c r="B185" s="101"/>
      <c r="C185" s="101"/>
      <c r="D185" s="101"/>
      <c r="E185" s="101"/>
      <c r="F185" s="101"/>
      <c r="G185" s="101"/>
    </row>
    <row r="186" spans="1:7" ht="18" customHeight="1" x14ac:dyDescent="0.3">
      <c r="A186" s="415" t="s">
        <v>215</v>
      </c>
      <c r="B186" s="415"/>
      <c r="C186" s="415"/>
      <c r="D186" s="415"/>
      <c r="E186" s="415"/>
      <c r="F186" s="415"/>
      <c r="G186" s="415"/>
    </row>
    <row r="187" spans="1:7" ht="18.75" customHeight="1" x14ac:dyDescent="0.3">
      <c r="A187" s="7"/>
    </row>
    <row r="188" spans="1:7" ht="15.6" customHeight="1" x14ac:dyDescent="0.35">
      <c r="A188" s="7" t="s">
        <v>144</v>
      </c>
      <c r="B188" s="8">
        <v>244</v>
      </c>
    </row>
    <row r="189" spans="1:7" ht="18" customHeight="1" x14ac:dyDescent="0.3">
      <c r="A189" s="6"/>
    </row>
    <row r="190" spans="1:7" ht="43.5" customHeight="1" x14ac:dyDescent="0.3">
      <c r="A190" s="418" t="s">
        <v>85</v>
      </c>
      <c r="B190" s="419"/>
      <c r="C190" s="172" t="s">
        <v>120</v>
      </c>
      <c r="D190" s="477" t="s">
        <v>121</v>
      </c>
      <c r="E190" s="477"/>
      <c r="F190" s="418" t="s">
        <v>185</v>
      </c>
      <c r="G190" s="419"/>
    </row>
    <row r="191" spans="1:7" ht="20.25" customHeight="1" x14ac:dyDescent="0.3">
      <c r="A191" s="494">
        <v>1</v>
      </c>
      <c r="B191" s="495"/>
      <c r="C191" s="218">
        <v>2</v>
      </c>
      <c r="D191" s="485">
        <v>3</v>
      </c>
      <c r="E191" s="486"/>
      <c r="F191" s="490">
        <v>4</v>
      </c>
      <c r="G191" s="491"/>
    </row>
    <row r="192" spans="1:7" ht="18" x14ac:dyDescent="0.3">
      <c r="A192" s="492" t="s">
        <v>122</v>
      </c>
      <c r="B192" s="493"/>
      <c r="C192" s="210">
        <v>13</v>
      </c>
      <c r="D192" s="488">
        <v>357</v>
      </c>
      <c r="E192" s="488"/>
      <c r="F192" s="488">
        <f>C192*D192*12</f>
        <v>55692</v>
      </c>
      <c r="G192" s="488"/>
    </row>
    <row r="193" spans="1:7" ht="18" x14ac:dyDescent="0.3">
      <c r="A193" s="492" t="s">
        <v>359</v>
      </c>
      <c r="B193" s="493"/>
      <c r="C193" s="210">
        <v>7</v>
      </c>
      <c r="D193" s="488">
        <v>59</v>
      </c>
      <c r="E193" s="488"/>
      <c r="F193" s="488">
        <f>C193*D193*12</f>
        <v>4956</v>
      </c>
      <c r="G193" s="488"/>
    </row>
    <row r="194" spans="1:7" ht="18" x14ac:dyDescent="0.3">
      <c r="A194" s="492" t="s">
        <v>360</v>
      </c>
      <c r="B194" s="493"/>
      <c r="C194" s="210">
        <v>5</v>
      </c>
      <c r="D194" s="488">
        <v>499.7</v>
      </c>
      <c r="E194" s="488"/>
      <c r="F194" s="488">
        <f>C194*D194*12</f>
        <v>29982</v>
      </c>
      <c r="G194" s="488"/>
    </row>
    <row r="195" spans="1:7" ht="19.5" customHeight="1" x14ac:dyDescent="0.3">
      <c r="A195" s="496" t="s">
        <v>361</v>
      </c>
      <c r="B195" s="497"/>
      <c r="C195" s="219"/>
      <c r="D195" s="487"/>
      <c r="E195" s="487"/>
      <c r="F195" s="489">
        <f>'гос.зад на 2022 год '!D31</f>
        <v>90630</v>
      </c>
      <c r="G195" s="489"/>
    </row>
    <row r="196" spans="1:7" ht="19.5" customHeight="1" x14ac:dyDescent="0.3">
      <c r="A196" s="21"/>
    </row>
    <row r="197" spans="1:7" ht="19.5" hidden="1" customHeight="1" x14ac:dyDescent="0.3">
      <c r="A197" s="21"/>
    </row>
    <row r="198" spans="1:7" ht="19.5" hidden="1" customHeight="1" x14ac:dyDescent="0.3">
      <c r="A198" s="21"/>
    </row>
    <row r="199" spans="1:7" ht="19.5" hidden="1" customHeight="1" x14ac:dyDescent="0.3">
      <c r="A199" s="21"/>
    </row>
    <row r="200" spans="1:7" ht="19.5" hidden="1" customHeight="1" x14ac:dyDescent="0.3">
      <c r="A200" s="21"/>
    </row>
    <row r="201" spans="1:7" ht="19.5" hidden="1" customHeight="1" x14ac:dyDescent="0.3">
      <c r="A201" s="21"/>
    </row>
    <row r="202" spans="1:7" ht="19.5" hidden="1" customHeight="1" x14ac:dyDescent="0.3">
      <c r="A202" s="21"/>
    </row>
    <row r="203" spans="1:7" ht="19.5" hidden="1" customHeight="1" x14ac:dyDescent="0.3">
      <c r="A203" s="21"/>
    </row>
    <row r="204" spans="1:7" ht="19.5" hidden="1" customHeight="1" x14ac:dyDescent="0.3">
      <c r="A204" s="21"/>
    </row>
    <row r="205" spans="1:7" ht="19.5" hidden="1" customHeight="1" x14ac:dyDescent="0.3">
      <c r="A205" s="21"/>
    </row>
    <row r="206" spans="1:7" ht="19.5" hidden="1" customHeight="1" x14ac:dyDescent="0.3">
      <c r="A206" s="21"/>
    </row>
    <row r="207" spans="1:7" ht="17.399999999999999" x14ac:dyDescent="0.3">
      <c r="A207" s="415" t="s">
        <v>217</v>
      </c>
      <c r="B207" s="415"/>
      <c r="C207" s="415"/>
      <c r="D207" s="415"/>
      <c r="E207" s="415"/>
      <c r="F207" s="415"/>
      <c r="G207" s="415"/>
    </row>
    <row r="208" spans="1:7" ht="18" x14ac:dyDescent="0.3">
      <c r="A208" s="7"/>
    </row>
    <row r="209" spans="1:8" ht="19.95" customHeight="1" x14ac:dyDescent="0.3">
      <c r="A209" s="7" t="s">
        <v>144</v>
      </c>
      <c r="B209" s="7">
        <v>244</v>
      </c>
    </row>
    <row r="210" spans="1:8" ht="16.95" customHeight="1" x14ac:dyDescent="0.3">
      <c r="A210" s="6"/>
    </row>
    <row r="211" spans="1:8" ht="51.6" customHeight="1" x14ac:dyDescent="0.3">
      <c r="A211" s="408" t="s">
        <v>85</v>
      </c>
      <c r="B211" s="410"/>
      <c r="C211" s="281" t="s">
        <v>125</v>
      </c>
      <c r="D211" s="416" t="s">
        <v>126</v>
      </c>
      <c r="E211" s="416"/>
      <c r="F211" s="408" t="s">
        <v>93</v>
      </c>
      <c r="G211" s="410"/>
    </row>
    <row r="212" spans="1:8" ht="19.2" customHeight="1" x14ac:dyDescent="0.3">
      <c r="A212" s="408">
        <v>1</v>
      </c>
      <c r="B212" s="410"/>
      <c r="C212" s="282">
        <v>2</v>
      </c>
      <c r="D212" s="408">
        <v>3</v>
      </c>
      <c r="E212" s="410"/>
      <c r="F212" s="408">
        <v>4</v>
      </c>
      <c r="G212" s="410"/>
      <c r="H212" s="291"/>
    </row>
    <row r="213" spans="1:8" ht="39.75" customHeight="1" x14ac:dyDescent="0.3">
      <c r="A213" s="412" t="s">
        <v>21</v>
      </c>
      <c r="B213" s="414"/>
      <c r="C213" s="306">
        <v>3118.6129700000001</v>
      </c>
      <c r="D213" s="416">
        <v>96.22</v>
      </c>
      <c r="E213" s="416"/>
      <c r="F213" s="417">
        <f>'гос.зад на 2022 год '!E43</f>
        <v>315010.20000000007</v>
      </c>
      <c r="G213" s="417"/>
      <c r="H213" s="291"/>
    </row>
    <row r="214" spans="1:8" ht="37.200000000000003" customHeight="1" x14ac:dyDescent="0.3">
      <c r="A214" s="412" t="s">
        <v>22</v>
      </c>
      <c r="B214" s="414"/>
      <c r="C214" s="281">
        <v>374.39778000000001</v>
      </c>
      <c r="D214" s="417">
        <v>361.15</v>
      </c>
      <c r="E214" s="417"/>
      <c r="F214" s="417">
        <f>'гос.зад на 2022 год '!E44</f>
        <v>120239.28000000001</v>
      </c>
      <c r="G214" s="417"/>
      <c r="H214" s="291"/>
    </row>
    <row r="215" spans="1:8" ht="21" customHeight="1" x14ac:dyDescent="0.3">
      <c r="A215" s="442" t="s">
        <v>361</v>
      </c>
      <c r="B215" s="442"/>
      <c r="C215" s="281"/>
      <c r="D215" s="416"/>
      <c r="E215" s="416"/>
      <c r="F215" s="417">
        <f>SUM(F213:F214)</f>
        <v>435249.4800000001</v>
      </c>
      <c r="G215" s="416"/>
    </row>
    <row r="216" spans="1:8" ht="18.75" customHeight="1" x14ac:dyDescent="0.3">
      <c r="A216" s="284"/>
      <c r="B216" s="284"/>
      <c r="C216" s="17"/>
      <c r="D216" s="17"/>
      <c r="E216" s="17"/>
      <c r="F216" s="283"/>
      <c r="G216" s="17"/>
    </row>
    <row r="217" spans="1:8" ht="20.25" customHeight="1" x14ac:dyDescent="0.3">
      <c r="A217" s="7" t="s">
        <v>144</v>
      </c>
      <c r="B217" s="7">
        <v>247</v>
      </c>
    </row>
    <row r="218" spans="1:8" ht="18" customHeight="1" x14ac:dyDescent="0.3">
      <c r="A218" s="6"/>
    </row>
    <row r="219" spans="1:8" ht="66" customHeight="1" x14ac:dyDescent="0.3">
      <c r="A219" s="408" t="s">
        <v>85</v>
      </c>
      <c r="B219" s="410"/>
      <c r="C219" s="207" t="s">
        <v>125</v>
      </c>
      <c r="D219" s="416" t="s">
        <v>126</v>
      </c>
      <c r="E219" s="416"/>
      <c r="F219" s="408" t="s">
        <v>93</v>
      </c>
      <c r="G219" s="410"/>
    </row>
    <row r="220" spans="1:8" ht="18" x14ac:dyDescent="0.3">
      <c r="A220" s="408">
        <v>1</v>
      </c>
      <c r="B220" s="410"/>
      <c r="C220" s="208">
        <v>2</v>
      </c>
      <c r="D220" s="408">
        <v>3</v>
      </c>
      <c r="E220" s="410"/>
      <c r="F220" s="408">
        <v>4</v>
      </c>
      <c r="G220" s="410"/>
    </row>
    <row r="221" spans="1:8" ht="39.75" customHeight="1" x14ac:dyDescent="0.3">
      <c r="A221" s="412" t="s">
        <v>18</v>
      </c>
      <c r="B221" s="414"/>
      <c r="C221" s="207">
        <v>875.92844200000002</v>
      </c>
      <c r="D221" s="416">
        <v>2577.5</v>
      </c>
      <c r="E221" s="416"/>
      <c r="F221" s="417">
        <f>'гос.зад на 2022 год '!D40</f>
        <v>2157705.56</v>
      </c>
      <c r="G221" s="417"/>
      <c r="H221" s="299"/>
    </row>
    <row r="222" spans="1:8" ht="39.75" customHeight="1" x14ac:dyDescent="0.3">
      <c r="A222" s="412" t="s">
        <v>20</v>
      </c>
      <c r="B222" s="414"/>
      <c r="C222" s="207">
        <v>61803.314700000003</v>
      </c>
      <c r="D222" s="416">
        <v>9.5</v>
      </c>
      <c r="E222" s="416"/>
      <c r="F222" s="417">
        <f>'гос.зад на 2022 год '!D42</f>
        <v>686959.04</v>
      </c>
      <c r="G222" s="417"/>
      <c r="H222" s="299"/>
    </row>
    <row r="223" spans="1:8" ht="15.75" customHeight="1" x14ac:dyDescent="0.3">
      <c r="A223" s="442" t="s">
        <v>361</v>
      </c>
      <c r="B223" s="442"/>
      <c r="C223" s="275"/>
      <c r="D223" s="416"/>
      <c r="E223" s="416"/>
      <c r="F223" s="417">
        <f>SUM(F221:F222)</f>
        <v>2844664.6</v>
      </c>
      <c r="G223" s="416"/>
    </row>
    <row r="224" spans="1:8" ht="19.95" hidden="1" customHeight="1" x14ac:dyDescent="0.3">
      <c r="A224" s="284"/>
      <c r="B224" s="284"/>
      <c r="C224" s="17"/>
      <c r="D224" s="17"/>
      <c r="E224" s="17"/>
      <c r="F224" s="305"/>
      <c r="G224" s="17"/>
    </row>
    <row r="225" spans="1:7" ht="22.5" customHeight="1" x14ac:dyDescent="0.3">
      <c r="A225" s="284"/>
      <c r="B225" s="284"/>
      <c r="C225" s="17"/>
      <c r="D225" s="17"/>
      <c r="E225" s="17"/>
      <c r="F225" s="283"/>
      <c r="G225" s="17"/>
    </row>
    <row r="226" spans="1:7" ht="38.25" customHeight="1" x14ac:dyDescent="0.3">
      <c r="A226" s="441" t="s">
        <v>437</v>
      </c>
      <c r="B226" s="441"/>
      <c r="C226" s="441"/>
      <c r="D226" s="441"/>
      <c r="E226" s="441"/>
      <c r="F226" s="441"/>
      <c r="G226" s="441"/>
    </row>
    <row r="227" spans="1:7" ht="17.25" customHeight="1" x14ac:dyDescent="0.3">
      <c r="A227" s="7"/>
    </row>
    <row r="228" spans="1:7" ht="17.25" customHeight="1" x14ac:dyDescent="0.3">
      <c r="A228" s="7" t="s">
        <v>144</v>
      </c>
      <c r="B228" s="7">
        <v>244</v>
      </c>
    </row>
    <row r="229" spans="1:7" ht="17.25" customHeight="1" x14ac:dyDescent="0.3">
      <c r="A229" s="6"/>
    </row>
    <row r="230" spans="1:7" ht="39" customHeight="1" x14ac:dyDescent="0.3">
      <c r="A230" s="416" t="s">
        <v>85</v>
      </c>
      <c r="B230" s="416"/>
      <c r="C230" s="416"/>
      <c r="D230" s="416" t="s">
        <v>130</v>
      </c>
      <c r="E230" s="416"/>
      <c r="F230" s="408" t="s">
        <v>131</v>
      </c>
      <c r="G230" s="410"/>
    </row>
    <row r="231" spans="1:7" ht="16.95" customHeight="1" x14ac:dyDescent="0.35">
      <c r="A231" s="437">
        <v>1</v>
      </c>
      <c r="B231" s="437"/>
      <c r="C231" s="437"/>
      <c r="D231" s="438">
        <v>2</v>
      </c>
      <c r="E231" s="439"/>
      <c r="F231" s="438">
        <v>3</v>
      </c>
      <c r="G231" s="439"/>
    </row>
    <row r="232" spans="1:7" ht="19.95" customHeight="1" x14ac:dyDescent="0.3">
      <c r="A232" s="435" t="s">
        <v>362</v>
      </c>
      <c r="B232" s="435"/>
      <c r="C232" s="435"/>
      <c r="D232" s="436">
        <v>8</v>
      </c>
      <c r="E232" s="436"/>
      <c r="F232" s="434">
        <v>65000</v>
      </c>
      <c r="G232" s="434"/>
    </row>
    <row r="233" spans="1:7" ht="38.25" customHeight="1" x14ac:dyDescent="0.3">
      <c r="A233" s="435" t="s">
        <v>363</v>
      </c>
      <c r="B233" s="435"/>
      <c r="C233" s="435"/>
      <c r="D233" s="446">
        <v>12</v>
      </c>
      <c r="E233" s="446"/>
      <c r="F233" s="434">
        <v>20000</v>
      </c>
      <c r="G233" s="434"/>
    </row>
    <row r="234" spans="1:7" ht="38.25" customHeight="1" x14ac:dyDescent="0.3">
      <c r="A234" s="435" t="s">
        <v>364</v>
      </c>
      <c r="B234" s="435"/>
      <c r="C234" s="435"/>
      <c r="D234" s="436">
        <v>12</v>
      </c>
      <c r="E234" s="436"/>
      <c r="F234" s="434">
        <v>55000</v>
      </c>
      <c r="G234" s="434"/>
    </row>
    <row r="235" spans="1:7" ht="36" customHeight="1" x14ac:dyDescent="0.3">
      <c r="A235" s="435" t="s">
        <v>365</v>
      </c>
      <c r="B235" s="435"/>
      <c r="C235" s="435"/>
      <c r="D235" s="436">
        <v>12</v>
      </c>
      <c r="E235" s="436"/>
      <c r="F235" s="434">
        <f>13786.67-214.91</f>
        <v>13571.76</v>
      </c>
      <c r="G235" s="434"/>
    </row>
    <row r="236" spans="1:7" ht="0.75" customHeight="1" x14ac:dyDescent="0.3">
      <c r="A236" s="435" t="s">
        <v>447</v>
      </c>
      <c r="B236" s="435"/>
      <c r="C236" s="435"/>
      <c r="D236" s="436"/>
      <c r="E236" s="436"/>
      <c r="F236" s="434"/>
      <c r="G236" s="434"/>
    </row>
    <row r="237" spans="1:7" ht="35.25" customHeight="1" x14ac:dyDescent="0.3">
      <c r="A237" s="478" t="s">
        <v>461</v>
      </c>
      <c r="B237" s="479"/>
      <c r="C237" s="480"/>
      <c r="D237" s="481">
        <v>1</v>
      </c>
      <c r="E237" s="482"/>
      <c r="F237" s="483">
        <v>30000</v>
      </c>
      <c r="G237" s="484"/>
    </row>
    <row r="238" spans="1:7" ht="17.25" customHeight="1" x14ac:dyDescent="0.3">
      <c r="A238" s="469" t="s">
        <v>361</v>
      </c>
      <c r="B238" s="470"/>
      <c r="C238" s="471"/>
      <c r="D238" s="472"/>
      <c r="E238" s="473"/>
      <c r="F238" s="467">
        <f>'гос.зад на 2022 год '!D48</f>
        <v>183571.76</v>
      </c>
      <c r="G238" s="468"/>
    </row>
    <row r="239" spans="1:7" ht="72.75" customHeight="1" x14ac:dyDescent="0.3">
      <c r="A239" s="27"/>
    </row>
    <row r="240" spans="1:7" ht="18.600000000000001" customHeight="1" x14ac:dyDescent="0.3">
      <c r="A240" s="415" t="s">
        <v>220</v>
      </c>
      <c r="B240" s="415"/>
      <c r="C240" s="415"/>
      <c r="D240" s="415"/>
      <c r="E240" s="415"/>
      <c r="F240" s="415"/>
      <c r="G240" s="415"/>
    </row>
    <row r="241" spans="1:7" ht="18.600000000000001" customHeight="1" x14ac:dyDescent="0.3">
      <c r="A241" s="7"/>
    </row>
    <row r="242" spans="1:7" ht="18.600000000000001" customHeight="1" x14ac:dyDescent="0.35">
      <c r="A242" s="7" t="s">
        <v>144</v>
      </c>
      <c r="B242" s="8">
        <v>244</v>
      </c>
    </row>
    <row r="243" spans="1:7" ht="18.600000000000001" customHeight="1" x14ac:dyDescent="0.3">
      <c r="A243" s="6"/>
    </row>
    <row r="244" spans="1:7" ht="36" customHeight="1" x14ac:dyDescent="0.3">
      <c r="A244" s="416" t="s">
        <v>85</v>
      </c>
      <c r="B244" s="416"/>
      <c r="C244" s="416"/>
      <c r="D244" s="416" t="s">
        <v>136</v>
      </c>
      <c r="E244" s="416"/>
      <c r="F244" s="416" t="s">
        <v>137</v>
      </c>
      <c r="G244" s="416"/>
    </row>
    <row r="245" spans="1:7" ht="13.2" customHeight="1" x14ac:dyDescent="0.3">
      <c r="A245" s="416">
        <v>1</v>
      </c>
      <c r="B245" s="416"/>
      <c r="C245" s="416"/>
      <c r="D245" s="445">
        <v>2</v>
      </c>
      <c r="E245" s="445"/>
      <c r="F245" s="445">
        <v>3</v>
      </c>
      <c r="G245" s="445"/>
    </row>
    <row r="246" spans="1:7" ht="33.75" customHeight="1" x14ac:dyDescent="0.3">
      <c r="A246" s="443" t="s">
        <v>368</v>
      </c>
      <c r="B246" s="443"/>
      <c r="C246" s="443"/>
      <c r="D246" s="475">
        <v>1</v>
      </c>
      <c r="E246" s="475"/>
      <c r="F246" s="440">
        <v>86000</v>
      </c>
      <c r="G246" s="440"/>
    </row>
    <row r="247" spans="1:7" ht="15" customHeight="1" x14ac:dyDescent="0.3">
      <c r="A247" s="443" t="s">
        <v>139</v>
      </c>
      <c r="B247" s="443"/>
      <c r="C247" s="443"/>
      <c r="D247" s="475">
        <v>6</v>
      </c>
      <c r="E247" s="475"/>
      <c r="F247" s="440">
        <f>1378746+-5440+37000-56985.6</f>
        <v>1353320.4</v>
      </c>
      <c r="G247" s="440"/>
    </row>
    <row r="248" spans="1:7" ht="21" customHeight="1" x14ac:dyDescent="0.3">
      <c r="A248" s="443" t="s">
        <v>140</v>
      </c>
      <c r="B248" s="443"/>
      <c r="C248" s="443"/>
      <c r="D248" s="475">
        <v>6</v>
      </c>
      <c r="E248" s="475"/>
      <c r="F248" s="440">
        <v>53000</v>
      </c>
      <c r="G248" s="440"/>
    </row>
    <row r="249" spans="1:7" ht="14.4" customHeight="1" x14ac:dyDescent="0.3">
      <c r="A249" s="444" t="s">
        <v>366</v>
      </c>
      <c r="B249" s="444"/>
      <c r="C249" s="444"/>
      <c r="D249" s="475">
        <v>3</v>
      </c>
      <c r="E249" s="475"/>
      <c r="F249" s="440">
        <v>49440</v>
      </c>
      <c r="G249" s="440"/>
    </row>
    <row r="250" spans="1:7" ht="17.399999999999999" customHeight="1" x14ac:dyDescent="0.3">
      <c r="A250" s="444" t="s">
        <v>367</v>
      </c>
      <c r="B250" s="444"/>
      <c r="C250" s="444"/>
      <c r="D250" s="475">
        <v>3</v>
      </c>
      <c r="E250" s="475"/>
      <c r="F250" s="440">
        <v>29515.29</v>
      </c>
      <c r="G250" s="440"/>
    </row>
    <row r="251" spans="1:7" ht="17.399999999999999" customHeight="1" x14ac:dyDescent="0.35">
      <c r="A251" s="412" t="s">
        <v>458</v>
      </c>
      <c r="B251" s="413"/>
      <c r="C251" s="414"/>
      <c r="D251" s="476">
        <v>1</v>
      </c>
      <c r="E251" s="476"/>
      <c r="F251" s="466">
        <v>89727.11</v>
      </c>
      <c r="G251" s="466"/>
    </row>
    <row r="252" spans="1:7" ht="17.399999999999999" customHeight="1" x14ac:dyDescent="0.35">
      <c r="A252" s="411" t="s">
        <v>361</v>
      </c>
      <c r="B252" s="411"/>
      <c r="C252" s="411"/>
      <c r="D252" s="474"/>
      <c r="E252" s="474"/>
      <c r="F252" s="466">
        <f>'гос.зад на 2022 год '!D54</f>
        <v>1661002.7999999998</v>
      </c>
      <c r="G252" s="466"/>
    </row>
    <row r="253" spans="1:7" ht="22.5" customHeight="1" x14ac:dyDescent="0.3">
      <c r="A253" s="6"/>
    </row>
    <row r="254" spans="1:7" ht="17.399999999999999" customHeight="1" x14ac:dyDescent="0.3">
      <c r="A254" s="415" t="s">
        <v>221</v>
      </c>
      <c r="B254" s="415"/>
      <c r="C254" s="415"/>
      <c r="D254" s="415"/>
      <c r="E254" s="415"/>
      <c r="F254" s="415"/>
      <c r="G254" s="415"/>
    </row>
    <row r="255" spans="1:7" ht="14.4" customHeight="1" x14ac:dyDescent="0.3">
      <c r="A255" s="7"/>
    </row>
    <row r="256" spans="1:7" ht="14.4" customHeight="1" x14ac:dyDescent="0.3">
      <c r="A256" s="7" t="s">
        <v>144</v>
      </c>
      <c r="B256" s="7">
        <v>244</v>
      </c>
    </row>
    <row r="257" spans="1:7" ht="14.4" customHeight="1" x14ac:dyDescent="0.3">
      <c r="A257" s="6"/>
    </row>
    <row r="258" spans="1:7" ht="15" customHeight="1" x14ac:dyDescent="0.3">
      <c r="A258" s="408" t="s">
        <v>85</v>
      </c>
      <c r="B258" s="410"/>
      <c r="C258" s="408" t="s">
        <v>136</v>
      </c>
      <c r="D258" s="410"/>
      <c r="E258" s="408" t="s">
        <v>137</v>
      </c>
      <c r="F258" s="409"/>
      <c r="G258" s="410"/>
    </row>
    <row r="259" spans="1:7" ht="18" customHeight="1" x14ac:dyDescent="0.35">
      <c r="A259" s="408">
        <v>1</v>
      </c>
      <c r="B259" s="410"/>
      <c r="C259" s="408">
        <v>2</v>
      </c>
      <c r="D259" s="410"/>
      <c r="E259" s="422">
        <v>3</v>
      </c>
      <c r="F259" s="450"/>
      <c r="G259" s="423"/>
    </row>
    <row r="260" spans="1:7" ht="21.75" customHeight="1" x14ac:dyDescent="0.35">
      <c r="A260" s="412" t="s">
        <v>25</v>
      </c>
      <c r="B260" s="414"/>
      <c r="C260" s="408">
        <v>4</v>
      </c>
      <c r="D260" s="410"/>
      <c r="E260" s="447">
        <f>'гос.зад на 2022 год '!D55</f>
        <v>20851.260000000002</v>
      </c>
      <c r="F260" s="448"/>
      <c r="G260" s="449"/>
    </row>
    <row r="261" spans="1:7" ht="21.75" customHeight="1" x14ac:dyDescent="0.3">
      <c r="A261" s="21"/>
    </row>
    <row r="262" spans="1:7" ht="21.75" hidden="1" customHeight="1" x14ac:dyDescent="0.3">
      <c r="A262" s="21"/>
    </row>
    <row r="263" spans="1:7" ht="21.75" hidden="1" customHeight="1" x14ac:dyDescent="0.3">
      <c r="A263" s="21"/>
    </row>
    <row r="264" spans="1:7" ht="21.75" hidden="1" customHeight="1" x14ac:dyDescent="0.3">
      <c r="A264" s="21"/>
    </row>
    <row r="265" spans="1:7" ht="21.75" hidden="1" customHeight="1" x14ac:dyDescent="0.3">
      <c r="A265" s="21"/>
    </row>
    <row r="266" spans="1:7" ht="21.75" hidden="1" customHeight="1" x14ac:dyDescent="0.3">
      <c r="A266" s="21"/>
    </row>
    <row r="267" spans="1:7" ht="21.75" hidden="1" customHeight="1" x14ac:dyDescent="0.3">
      <c r="A267" s="21"/>
    </row>
    <row r="268" spans="1:7" ht="21.75" hidden="1" customHeight="1" x14ac:dyDescent="0.3">
      <c r="A268" s="21"/>
    </row>
    <row r="269" spans="1:7" ht="21.75" hidden="1" customHeight="1" x14ac:dyDescent="0.3">
      <c r="A269" s="21"/>
    </row>
    <row r="270" spans="1:7" ht="21.75" customHeight="1" x14ac:dyDescent="0.3">
      <c r="A270" s="424" t="s">
        <v>224</v>
      </c>
      <c r="B270" s="424"/>
      <c r="C270" s="424"/>
      <c r="D270" s="424"/>
      <c r="E270" s="424"/>
      <c r="F270" s="424"/>
      <c r="G270" s="424"/>
    </row>
    <row r="271" spans="1:7" ht="21.75" customHeight="1" x14ac:dyDescent="0.3">
      <c r="A271" s="7"/>
    </row>
    <row r="272" spans="1:7" ht="21.75" customHeight="1" x14ac:dyDescent="0.35">
      <c r="A272" s="7" t="s">
        <v>144</v>
      </c>
      <c r="B272" s="8">
        <v>244</v>
      </c>
    </row>
    <row r="273" spans="1:7" ht="17.399999999999999" x14ac:dyDescent="0.3">
      <c r="A273" s="6"/>
    </row>
    <row r="274" spans="1:7" ht="17.399999999999999" customHeight="1" x14ac:dyDescent="0.3">
      <c r="A274" s="408" t="s">
        <v>85</v>
      </c>
      <c r="B274" s="410"/>
      <c r="C274" s="207" t="s">
        <v>141</v>
      </c>
      <c r="D274" s="408" t="s">
        <v>142</v>
      </c>
      <c r="E274" s="410"/>
      <c r="F274" s="408" t="s">
        <v>149</v>
      </c>
      <c r="G274" s="410"/>
    </row>
    <row r="275" spans="1:7" ht="18" x14ac:dyDescent="0.3">
      <c r="A275" s="408">
        <v>1</v>
      </c>
      <c r="B275" s="410"/>
      <c r="C275" s="204">
        <v>2</v>
      </c>
      <c r="D275" s="408">
        <v>3</v>
      </c>
      <c r="E275" s="410"/>
      <c r="F275" s="408">
        <v>4</v>
      </c>
      <c r="G275" s="410"/>
    </row>
    <row r="276" spans="1:7" ht="15" customHeight="1" x14ac:dyDescent="0.3">
      <c r="A276" s="458" t="s">
        <v>369</v>
      </c>
      <c r="B276" s="459"/>
      <c r="C276" s="149">
        <v>1100</v>
      </c>
      <c r="D276" s="464">
        <v>78.66</v>
      </c>
      <c r="E276" s="465"/>
      <c r="F276" s="456">
        <f>C276*D276+3.94</f>
        <v>86529.94</v>
      </c>
      <c r="G276" s="457"/>
    </row>
    <row r="277" spans="1:7" ht="18" x14ac:dyDescent="0.3">
      <c r="A277" s="458" t="s">
        <v>370</v>
      </c>
      <c r="B277" s="459"/>
      <c r="C277" s="149">
        <v>140</v>
      </c>
      <c r="D277" s="464">
        <v>150</v>
      </c>
      <c r="E277" s="465"/>
      <c r="F277" s="456">
        <f>C277*D277</f>
        <v>21000</v>
      </c>
      <c r="G277" s="457"/>
    </row>
    <row r="278" spans="1:7" ht="18" customHeight="1" x14ac:dyDescent="0.3">
      <c r="A278" s="462" t="s">
        <v>371</v>
      </c>
      <c r="B278" s="462"/>
      <c r="C278" s="150">
        <v>50</v>
      </c>
      <c r="D278" s="461">
        <v>950</v>
      </c>
      <c r="E278" s="461"/>
      <c r="F278" s="460">
        <f>C278*D278</f>
        <v>47500</v>
      </c>
      <c r="G278" s="460"/>
    </row>
    <row r="279" spans="1:7" ht="18" customHeight="1" x14ac:dyDescent="0.3">
      <c r="A279" s="463" t="s">
        <v>373</v>
      </c>
      <c r="B279" s="463"/>
      <c r="C279" s="150">
        <v>840</v>
      </c>
      <c r="D279" s="461">
        <v>250</v>
      </c>
      <c r="E279" s="461"/>
      <c r="F279" s="460">
        <f>C279*D279</f>
        <v>210000</v>
      </c>
      <c r="G279" s="460"/>
    </row>
    <row r="280" spans="1:7" ht="18" x14ac:dyDescent="0.3">
      <c r="A280" s="444" t="s">
        <v>372</v>
      </c>
      <c r="B280" s="444"/>
      <c r="C280" s="150">
        <v>250</v>
      </c>
      <c r="D280" s="461">
        <v>450</v>
      </c>
      <c r="E280" s="461"/>
      <c r="F280" s="460">
        <f>C280*D280</f>
        <v>112500</v>
      </c>
      <c r="G280" s="460"/>
    </row>
    <row r="281" spans="1:7" ht="18" x14ac:dyDescent="0.3">
      <c r="A281" s="412" t="s">
        <v>241</v>
      </c>
      <c r="B281" s="413"/>
      <c r="C281" s="151"/>
      <c r="D281" s="454"/>
      <c r="E281" s="455"/>
      <c r="F281" s="452">
        <f>'гос.зад на 2022 год '!D97</f>
        <v>477529.94</v>
      </c>
      <c r="G281" s="453"/>
    </row>
    <row r="282" spans="1:7" ht="15" customHeight="1" x14ac:dyDescent="0.3">
      <c r="A282" s="13"/>
      <c r="B282" s="14"/>
      <c r="C282" s="14"/>
      <c r="D282" s="14"/>
      <c r="E282" s="14"/>
      <c r="F282" s="72"/>
      <c r="G282" s="72"/>
    </row>
    <row r="283" spans="1:7" ht="15.75" customHeight="1" x14ac:dyDescent="0.35">
      <c r="A283" s="395" t="s">
        <v>150</v>
      </c>
      <c r="B283" s="395"/>
      <c r="C283" s="400"/>
      <c r="D283" s="400"/>
      <c r="E283" s="8"/>
      <c r="F283" s="400" t="s">
        <v>267</v>
      </c>
      <c r="G283" s="400"/>
    </row>
    <row r="284" spans="1:7" ht="15" customHeight="1" x14ac:dyDescent="0.35">
      <c r="A284" s="27"/>
      <c r="B284" s="8"/>
      <c r="C284" s="401" t="s">
        <v>53</v>
      </c>
      <c r="D284" s="401"/>
      <c r="E284" s="8"/>
      <c r="F284" s="451" t="s">
        <v>54</v>
      </c>
      <c r="G284" s="451"/>
    </row>
    <row r="285" spans="1:7" ht="18" x14ac:dyDescent="0.35">
      <c r="A285" s="27"/>
      <c r="B285" s="8"/>
      <c r="C285" s="95"/>
      <c r="D285" s="95"/>
      <c r="E285" s="8"/>
      <c r="F285" s="95"/>
      <c r="G285" s="95"/>
    </row>
    <row r="286" spans="1:7" ht="18" x14ac:dyDescent="0.35">
      <c r="A286" s="396" t="s">
        <v>151</v>
      </c>
      <c r="B286" s="396"/>
      <c r="C286" s="400"/>
      <c r="D286" s="400"/>
      <c r="E286" s="8"/>
      <c r="F286" s="400" t="s">
        <v>464</v>
      </c>
      <c r="G286" s="400"/>
    </row>
    <row r="287" spans="1:7" ht="15" customHeight="1" x14ac:dyDescent="0.35">
      <c r="A287" s="27"/>
      <c r="B287" s="8"/>
      <c r="C287" s="401" t="s">
        <v>53</v>
      </c>
      <c r="D287" s="401"/>
      <c r="E287" s="8"/>
      <c r="F287" s="451" t="s">
        <v>54</v>
      </c>
      <c r="G287" s="451"/>
    </row>
    <row r="288" spans="1:7" ht="18" x14ac:dyDescent="0.35">
      <c r="A288" s="27"/>
      <c r="B288" s="8"/>
      <c r="C288" s="95"/>
      <c r="D288" s="95"/>
      <c r="E288" s="8"/>
      <c r="F288" s="95"/>
      <c r="G288" s="95"/>
    </row>
    <row r="289" spans="1:7" ht="18" customHeight="1" x14ac:dyDescent="0.35">
      <c r="A289" s="27" t="s">
        <v>152</v>
      </c>
      <c r="B289" s="8"/>
      <c r="C289" s="400"/>
      <c r="D289" s="400"/>
      <c r="E289" s="8"/>
      <c r="F289" s="400" t="s">
        <v>268</v>
      </c>
      <c r="G289" s="400"/>
    </row>
    <row r="290" spans="1:7" ht="16.5" customHeight="1" x14ac:dyDescent="0.35">
      <c r="A290" s="27"/>
      <c r="B290" s="8"/>
      <c r="C290" s="401" t="s">
        <v>53</v>
      </c>
      <c r="D290" s="401"/>
      <c r="E290" s="8"/>
      <c r="F290" s="451" t="s">
        <v>54</v>
      </c>
      <c r="G290" s="451"/>
    </row>
    <row r="291" spans="1:7" ht="18" x14ac:dyDescent="0.35">
      <c r="A291" s="396" t="s">
        <v>433</v>
      </c>
      <c r="B291" s="396"/>
      <c r="C291" s="8"/>
      <c r="D291" s="8"/>
      <c r="E291" s="8"/>
      <c r="F291" s="8"/>
      <c r="G291" s="8"/>
    </row>
    <row r="292" spans="1:7" ht="15.75" customHeight="1" x14ac:dyDescent="0.35">
      <c r="A292" s="396" t="s">
        <v>483</v>
      </c>
      <c r="B292" s="396"/>
      <c r="C292" s="8"/>
      <c r="D292" s="8"/>
      <c r="E292" s="8"/>
      <c r="F292" s="8"/>
      <c r="G292" s="8"/>
    </row>
    <row r="298" spans="1:7" ht="18" customHeight="1" x14ac:dyDescent="0.3"/>
    <row r="303" spans="1:7" ht="17.399999999999999" customHeight="1" x14ac:dyDescent="0.3"/>
    <row r="307" ht="18" customHeight="1" x14ac:dyDescent="0.3"/>
    <row r="309" ht="18.600000000000001" customHeight="1" x14ac:dyDescent="0.3"/>
    <row r="310" ht="18.600000000000001" customHeight="1" x14ac:dyDescent="0.3"/>
    <row r="311" ht="18.600000000000001" customHeight="1" x14ac:dyDescent="0.3"/>
    <row r="312" ht="18.600000000000001" customHeight="1" x14ac:dyDescent="0.3"/>
    <row r="314" ht="18.600000000000001" customHeight="1" x14ac:dyDescent="0.3"/>
    <row r="315" ht="18.600000000000001" customHeight="1" x14ac:dyDescent="0.3"/>
    <row r="316" ht="18.600000000000001" customHeight="1" x14ac:dyDescent="0.3"/>
    <row r="317" ht="18.600000000000001" customHeight="1" x14ac:dyDescent="0.3"/>
  </sheetData>
  <mergeCells count="251">
    <mergeCell ref="A237:C237"/>
    <mergeCell ref="D237:E237"/>
    <mergeCell ref="F237:G237"/>
    <mergeCell ref="D212:E212"/>
    <mergeCell ref="F212:G212"/>
    <mergeCell ref="A213:B213"/>
    <mergeCell ref="D213:E213"/>
    <mergeCell ref="F213:G213"/>
    <mergeCell ref="D191:E191"/>
    <mergeCell ref="D195:E195"/>
    <mergeCell ref="F192:G192"/>
    <mergeCell ref="F195:G195"/>
    <mergeCell ref="F191:G191"/>
    <mergeCell ref="D192:E192"/>
    <mergeCell ref="D193:E193"/>
    <mergeCell ref="D194:E194"/>
    <mergeCell ref="F193:G193"/>
    <mergeCell ref="F194:G194"/>
    <mergeCell ref="A192:B192"/>
    <mergeCell ref="A191:B191"/>
    <mergeCell ref="A193:B193"/>
    <mergeCell ref="A194:B194"/>
    <mergeCell ref="A195:B195"/>
    <mergeCell ref="A211:B211"/>
    <mergeCell ref="A129:G129"/>
    <mergeCell ref="C133:D133"/>
    <mergeCell ref="F133:G133"/>
    <mergeCell ref="C134:D134"/>
    <mergeCell ref="F134:G134"/>
    <mergeCell ref="C135:D135"/>
    <mergeCell ref="F135:G135"/>
    <mergeCell ref="A219:B219"/>
    <mergeCell ref="A220:B220"/>
    <mergeCell ref="A186:G186"/>
    <mergeCell ref="D190:E190"/>
    <mergeCell ref="F190:G190"/>
    <mergeCell ref="A184:G184"/>
    <mergeCell ref="B182:C182"/>
    <mergeCell ref="D182:E182"/>
    <mergeCell ref="B180:C180"/>
    <mergeCell ref="D180:E180"/>
    <mergeCell ref="B181:C181"/>
    <mergeCell ref="B173:C173"/>
    <mergeCell ref="A214:B214"/>
    <mergeCell ref="D214:E214"/>
    <mergeCell ref="F214:G214"/>
    <mergeCell ref="A215:B215"/>
    <mergeCell ref="A137:G137"/>
    <mergeCell ref="F251:G251"/>
    <mergeCell ref="A240:G240"/>
    <mergeCell ref="F238:G238"/>
    <mergeCell ref="A238:C238"/>
    <mergeCell ref="D238:E238"/>
    <mergeCell ref="A236:C236"/>
    <mergeCell ref="F236:G236"/>
    <mergeCell ref="A252:C252"/>
    <mergeCell ref="D252:E252"/>
    <mergeCell ref="A244:C244"/>
    <mergeCell ref="D244:E244"/>
    <mergeCell ref="A245:C245"/>
    <mergeCell ref="D245:E245"/>
    <mergeCell ref="A246:C246"/>
    <mergeCell ref="A247:C247"/>
    <mergeCell ref="A250:C250"/>
    <mergeCell ref="A251:C251"/>
    <mergeCell ref="D246:E246"/>
    <mergeCell ref="D247:E247"/>
    <mergeCell ref="D248:E248"/>
    <mergeCell ref="D249:E249"/>
    <mergeCell ref="D250:E250"/>
    <mergeCell ref="D251:E251"/>
    <mergeCell ref="F252:G252"/>
    <mergeCell ref="F277:G277"/>
    <mergeCell ref="F276:G276"/>
    <mergeCell ref="F275:G275"/>
    <mergeCell ref="F274:G274"/>
    <mergeCell ref="A270:G270"/>
    <mergeCell ref="A276:B276"/>
    <mergeCell ref="A277:B277"/>
    <mergeCell ref="F280:G280"/>
    <mergeCell ref="F279:G279"/>
    <mergeCell ref="F278:G278"/>
    <mergeCell ref="D280:E280"/>
    <mergeCell ref="D278:E278"/>
    <mergeCell ref="D279:E279"/>
    <mergeCell ref="A278:B278"/>
    <mergeCell ref="A279:B279"/>
    <mergeCell ref="A280:B280"/>
    <mergeCell ref="D276:E276"/>
    <mergeCell ref="D277:E277"/>
    <mergeCell ref="D274:E274"/>
    <mergeCell ref="D275:E275"/>
    <mergeCell ref="A274:B274"/>
    <mergeCell ref="A275:B275"/>
    <mergeCell ref="F290:G290"/>
    <mergeCell ref="F289:G289"/>
    <mergeCell ref="F287:G287"/>
    <mergeCell ref="F286:G286"/>
    <mergeCell ref="F284:G284"/>
    <mergeCell ref="F283:G283"/>
    <mergeCell ref="F281:G281"/>
    <mergeCell ref="A292:B292"/>
    <mergeCell ref="C287:D287"/>
    <mergeCell ref="C289:D289"/>
    <mergeCell ref="C290:D290"/>
    <mergeCell ref="C283:D283"/>
    <mergeCell ref="C284:D284"/>
    <mergeCell ref="C286:D286"/>
    <mergeCell ref="D281:E281"/>
    <mergeCell ref="A283:B283"/>
    <mergeCell ref="A281:B281"/>
    <mergeCell ref="A286:B286"/>
    <mergeCell ref="A291:B291"/>
    <mergeCell ref="A260:B260"/>
    <mergeCell ref="C260:D260"/>
    <mergeCell ref="E260:G260"/>
    <mergeCell ref="A254:G254"/>
    <mergeCell ref="A258:B258"/>
    <mergeCell ref="C258:D258"/>
    <mergeCell ref="E258:G258"/>
    <mergeCell ref="A259:B259"/>
    <mergeCell ref="C259:D259"/>
    <mergeCell ref="E259:G259"/>
    <mergeCell ref="F246:G246"/>
    <mergeCell ref="F247:G247"/>
    <mergeCell ref="F248:G248"/>
    <mergeCell ref="F249:G249"/>
    <mergeCell ref="F250:G250"/>
    <mergeCell ref="A226:G226"/>
    <mergeCell ref="D222:E222"/>
    <mergeCell ref="F222:G222"/>
    <mergeCell ref="F223:G223"/>
    <mergeCell ref="D223:E223"/>
    <mergeCell ref="A222:B222"/>
    <mergeCell ref="A223:B223"/>
    <mergeCell ref="A248:C248"/>
    <mergeCell ref="A249:C249"/>
    <mergeCell ref="D236:E236"/>
    <mergeCell ref="F245:G245"/>
    <mergeCell ref="F244:G244"/>
    <mergeCell ref="F231:G231"/>
    <mergeCell ref="F230:G230"/>
    <mergeCell ref="A233:C233"/>
    <mergeCell ref="D233:E233"/>
    <mergeCell ref="F233:G233"/>
    <mergeCell ref="A234:C234"/>
    <mergeCell ref="D234:E234"/>
    <mergeCell ref="F234:G234"/>
    <mergeCell ref="A235:C235"/>
    <mergeCell ref="D235:E235"/>
    <mergeCell ref="F235:G235"/>
    <mergeCell ref="A231:C231"/>
    <mergeCell ref="D221:E221"/>
    <mergeCell ref="A207:G207"/>
    <mergeCell ref="D219:E219"/>
    <mergeCell ref="F219:G219"/>
    <mergeCell ref="D220:E220"/>
    <mergeCell ref="F220:G220"/>
    <mergeCell ref="F221:G221"/>
    <mergeCell ref="A221:B221"/>
    <mergeCell ref="D231:E231"/>
    <mergeCell ref="A230:C230"/>
    <mergeCell ref="A232:C232"/>
    <mergeCell ref="D232:E232"/>
    <mergeCell ref="F232:G232"/>
    <mergeCell ref="D230:E230"/>
    <mergeCell ref="D215:E215"/>
    <mergeCell ref="F215:G215"/>
    <mergeCell ref="D211:E211"/>
    <mergeCell ref="F211:G211"/>
    <mergeCell ref="A212:B212"/>
    <mergeCell ref="A1:G1"/>
    <mergeCell ref="A2:G2"/>
    <mergeCell ref="A3:G3"/>
    <mergeCell ref="A13:G13"/>
    <mergeCell ref="A15:G15"/>
    <mergeCell ref="A19:A21"/>
    <mergeCell ref="B19:B21"/>
    <mergeCell ref="C19:F19"/>
    <mergeCell ref="G19:G21"/>
    <mergeCell ref="C20:C21"/>
    <mergeCell ref="B127:C127"/>
    <mergeCell ref="D127:E127"/>
    <mergeCell ref="F127:G127"/>
    <mergeCell ref="A5:G5"/>
    <mergeCell ref="B9:C9"/>
    <mergeCell ref="D9:E9"/>
    <mergeCell ref="F9:G9"/>
    <mergeCell ref="D20:F20"/>
    <mergeCell ref="A120:G120"/>
    <mergeCell ref="A124:A125"/>
    <mergeCell ref="B124:C125"/>
    <mergeCell ref="D124:E125"/>
    <mergeCell ref="F124:G125"/>
    <mergeCell ref="C117:F117"/>
    <mergeCell ref="B10:C10"/>
    <mergeCell ref="D10:E10"/>
    <mergeCell ref="F10:G10"/>
    <mergeCell ref="B11:C11"/>
    <mergeCell ref="D11:E11"/>
    <mergeCell ref="F11:G11"/>
    <mergeCell ref="B126:C126"/>
    <mergeCell ref="D126:E126"/>
    <mergeCell ref="F126:G126"/>
    <mergeCell ref="A190:B190"/>
    <mergeCell ref="F182:G182"/>
    <mergeCell ref="F181:G181"/>
    <mergeCell ref="F180:G180"/>
    <mergeCell ref="A167:G167"/>
    <mergeCell ref="B171:C171"/>
    <mergeCell ref="D171:E171"/>
    <mergeCell ref="F171:G171"/>
    <mergeCell ref="B174:C174"/>
    <mergeCell ref="D174:E174"/>
    <mergeCell ref="A174:A175"/>
    <mergeCell ref="D173:E173"/>
    <mergeCell ref="B175:C175"/>
    <mergeCell ref="D175:E175"/>
    <mergeCell ref="F173:G173"/>
    <mergeCell ref="F174:G174"/>
    <mergeCell ref="F175:G175"/>
    <mergeCell ref="F176:G176"/>
    <mergeCell ref="B176:C176"/>
    <mergeCell ref="D176:E176"/>
    <mergeCell ref="D181:E181"/>
    <mergeCell ref="B172:C172"/>
    <mergeCell ref="D172:E172"/>
    <mergeCell ref="F172:G172"/>
    <mergeCell ref="B164:C164"/>
    <mergeCell ref="D164:E164"/>
    <mergeCell ref="F164:G164"/>
    <mergeCell ref="B165:C165"/>
    <mergeCell ref="D165:E165"/>
    <mergeCell ref="F165:G165"/>
    <mergeCell ref="A155:C155"/>
    <mergeCell ref="A156:C156"/>
    <mergeCell ref="A157:C157"/>
    <mergeCell ref="F155:G155"/>
    <mergeCell ref="F156:G156"/>
    <mergeCell ref="F157:G157"/>
    <mergeCell ref="A141:D141"/>
    <mergeCell ref="A142:D142"/>
    <mergeCell ref="A143:D143"/>
    <mergeCell ref="A147:C147"/>
    <mergeCell ref="A148:C148"/>
    <mergeCell ref="A149:C149"/>
    <mergeCell ref="A159:G159"/>
    <mergeCell ref="B163:C163"/>
    <mergeCell ref="D163:E163"/>
    <mergeCell ref="F163:G163"/>
    <mergeCell ref="A151:G151"/>
  </mergeCells>
  <pageMargins left="1.3779527559055118" right="0.39370078740157483" top="0.39370078740157483" bottom="0.39370078740157483" header="0.31496062992125984" footer="0.31496062992125984"/>
  <pageSetup paperSize="9" scale="6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212"/>
  <sheetViews>
    <sheetView view="pageLayout" topLeftCell="A120" zoomScaleNormal="100" workbookViewId="0">
      <selection sqref="A1:F124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6" width="17.6640625" style="5" customWidth="1"/>
    <col min="7" max="7" width="16.33203125" style="5" bestFit="1" customWidth="1"/>
    <col min="8" max="8" width="13.33203125" style="5" customWidth="1"/>
    <col min="9" max="11" width="12.33203125" style="5" bestFit="1" customWidth="1"/>
    <col min="12" max="16384" width="8.88671875" style="5"/>
  </cols>
  <sheetData>
    <row r="1" spans="1:11" ht="17.399999999999999" x14ac:dyDescent="0.3">
      <c r="A1" s="384" t="s">
        <v>189</v>
      </c>
      <c r="B1" s="384"/>
      <c r="C1" s="384"/>
      <c r="D1" s="384"/>
      <c r="E1" s="384"/>
      <c r="F1" s="384"/>
    </row>
    <row r="2" spans="1:11" ht="17.399999999999999" x14ac:dyDescent="0.3">
      <c r="A2" s="384" t="s">
        <v>471</v>
      </c>
      <c r="B2" s="384"/>
      <c r="C2" s="384"/>
      <c r="D2" s="384"/>
      <c r="E2" s="384"/>
      <c r="F2" s="384"/>
    </row>
    <row r="3" spans="1:11" ht="15" x14ac:dyDescent="0.3">
      <c r="A3" s="28"/>
    </row>
    <row r="4" spans="1:11" ht="18" x14ac:dyDescent="0.3">
      <c r="A4" s="4"/>
      <c r="F4" s="4" t="s">
        <v>51</v>
      </c>
    </row>
    <row r="5" spans="1:11" ht="18.600000000000001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2</v>
      </c>
      <c r="F5" s="404"/>
    </row>
    <row r="6" spans="1:11" ht="124.8" x14ac:dyDescent="0.3">
      <c r="A6" s="405"/>
      <c r="B6" s="404"/>
      <c r="C6" s="406"/>
      <c r="D6" s="404"/>
      <c r="E6" s="229" t="s">
        <v>3</v>
      </c>
      <c r="F6" s="229" t="s">
        <v>4</v>
      </c>
    </row>
    <row r="7" spans="1:11" x14ac:dyDescent="0.3">
      <c r="A7" s="184">
        <v>1</v>
      </c>
      <c r="B7" s="184">
        <v>2</v>
      </c>
      <c r="C7" s="184">
        <v>3</v>
      </c>
      <c r="D7" s="184">
        <v>4</v>
      </c>
      <c r="E7" s="184">
        <v>5</v>
      </c>
      <c r="F7" s="184">
        <v>6</v>
      </c>
    </row>
    <row r="8" spans="1:11" ht="54" x14ac:dyDescent="0.3">
      <c r="A8" s="230" t="s">
        <v>47</v>
      </c>
      <c r="B8" s="231" t="s">
        <v>5</v>
      </c>
      <c r="C8" s="231" t="s">
        <v>5</v>
      </c>
      <c r="D8" s="3">
        <f>E8+F8</f>
        <v>5288815.76</v>
      </c>
      <c r="E8" s="3">
        <v>5288815.76</v>
      </c>
      <c r="F8" s="3"/>
    </row>
    <row r="9" spans="1:11" ht="54" x14ac:dyDescent="0.3">
      <c r="A9" s="230" t="s">
        <v>48</v>
      </c>
      <c r="B9" s="231" t="s">
        <v>5</v>
      </c>
      <c r="C9" s="231" t="s">
        <v>5</v>
      </c>
      <c r="D9" s="3">
        <f t="shared" ref="D9:D77" si="0">E9+F9</f>
        <v>-7.4505805969238281E-9</v>
      </c>
      <c r="E9" s="3">
        <f>E8+E10-E25+E107</f>
        <v>-7.4505805969238281E-9</v>
      </c>
      <c r="F9" s="3">
        <f>F8+F10-F25+F107</f>
        <v>0</v>
      </c>
    </row>
    <row r="10" spans="1:11" ht="21" customHeight="1" x14ac:dyDescent="0.3">
      <c r="A10" s="230" t="s">
        <v>49</v>
      </c>
      <c r="B10" s="231" t="s">
        <v>5</v>
      </c>
      <c r="C10" s="231" t="s">
        <v>5</v>
      </c>
      <c r="D10" s="1">
        <f>E10+F10</f>
        <v>40298693</v>
      </c>
      <c r="E10" s="1">
        <f>E12+E13+E14+E15+E16+E17+E21</f>
        <v>40298693</v>
      </c>
      <c r="F10" s="1">
        <f>F12+F13+F14+F15+F16+F17+F21+F102</f>
        <v>0</v>
      </c>
      <c r="J10" s="44"/>
      <c r="K10" s="44"/>
    </row>
    <row r="11" spans="1:11" ht="21" customHeight="1" x14ac:dyDescent="0.3">
      <c r="A11" s="230" t="s">
        <v>6</v>
      </c>
      <c r="B11" s="231"/>
      <c r="C11" s="231"/>
      <c r="D11" s="1"/>
      <c r="E11" s="1"/>
      <c r="F11" s="1"/>
      <c r="J11" s="44"/>
      <c r="K11" s="44"/>
    </row>
    <row r="12" spans="1:11" ht="36" x14ac:dyDescent="0.3">
      <c r="A12" s="230" t="s">
        <v>66</v>
      </c>
      <c r="B12" s="231">
        <v>120</v>
      </c>
      <c r="C12" s="231" t="s">
        <v>5</v>
      </c>
      <c r="D12" s="1">
        <f t="shared" si="0"/>
        <v>312600</v>
      </c>
      <c r="E12" s="1">
        <v>312600</v>
      </c>
      <c r="F12" s="1"/>
      <c r="G12" s="34"/>
      <c r="H12" s="299"/>
      <c r="J12" s="44"/>
      <c r="K12" s="44"/>
    </row>
    <row r="13" spans="1:11" ht="84" customHeight="1" x14ac:dyDescent="0.3">
      <c r="A13" s="230" t="s">
        <v>65</v>
      </c>
      <c r="B13" s="231">
        <v>130</v>
      </c>
      <c r="C13" s="231" t="s">
        <v>5</v>
      </c>
      <c r="D13" s="1">
        <f t="shared" si="0"/>
        <v>39986093</v>
      </c>
      <c r="E13" s="1">
        <f>26300000+3000000+3000000+3000000+3000000+204093+1482000</f>
        <v>39986093</v>
      </c>
      <c r="F13" s="1"/>
      <c r="G13" s="34"/>
      <c r="H13" s="299"/>
      <c r="J13" s="44"/>
      <c r="K13" s="44"/>
    </row>
    <row r="14" spans="1:11" ht="72" x14ac:dyDescent="0.3">
      <c r="A14" s="230" t="s">
        <v>64</v>
      </c>
      <c r="B14" s="231">
        <v>140</v>
      </c>
      <c r="C14" s="231" t="s">
        <v>5</v>
      </c>
      <c r="D14" s="1">
        <f t="shared" si="0"/>
        <v>0</v>
      </c>
      <c r="E14" s="1"/>
      <c r="F14" s="1"/>
      <c r="J14" s="44"/>
      <c r="K14" s="44"/>
    </row>
    <row r="15" spans="1:11" ht="54" x14ac:dyDescent="0.3">
      <c r="A15" s="230" t="s">
        <v>63</v>
      </c>
      <c r="B15" s="231">
        <v>150</v>
      </c>
      <c r="C15" s="231" t="s">
        <v>5</v>
      </c>
      <c r="D15" s="1">
        <f t="shared" si="0"/>
        <v>0</v>
      </c>
      <c r="E15" s="1"/>
      <c r="F15" s="1"/>
    </row>
    <row r="16" spans="1:11" ht="26.4" customHeight="1" x14ac:dyDescent="0.3">
      <c r="A16" s="230" t="s">
        <v>62</v>
      </c>
      <c r="B16" s="231">
        <v>180</v>
      </c>
      <c r="C16" s="231" t="s">
        <v>5</v>
      </c>
      <c r="D16" s="1">
        <f t="shared" si="0"/>
        <v>0</v>
      </c>
      <c r="E16" s="1"/>
      <c r="F16" s="1"/>
    </row>
    <row r="17" spans="1:6" ht="36" x14ac:dyDescent="0.3">
      <c r="A17" s="230" t="s">
        <v>61</v>
      </c>
      <c r="B17" s="231" t="s">
        <v>5</v>
      </c>
      <c r="C17" s="231" t="s">
        <v>5</v>
      </c>
      <c r="D17" s="1">
        <f t="shared" si="0"/>
        <v>0</v>
      </c>
      <c r="E17" s="1">
        <f>E19+E20</f>
        <v>0</v>
      </c>
      <c r="F17" s="1">
        <f>F19+F20</f>
        <v>0</v>
      </c>
    </row>
    <row r="18" spans="1:6" ht="26.4" customHeight="1" x14ac:dyDescent="0.3">
      <c r="A18" s="230" t="s">
        <v>6</v>
      </c>
      <c r="B18" s="231"/>
      <c r="C18" s="231"/>
      <c r="D18" s="1"/>
      <c r="E18" s="1"/>
      <c r="F18" s="1"/>
    </row>
    <row r="19" spans="1:6" ht="36" x14ac:dyDescent="0.3">
      <c r="A19" s="230" t="s">
        <v>71</v>
      </c>
      <c r="B19" s="231">
        <v>410</v>
      </c>
      <c r="C19" s="231" t="s">
        <v>5</v>
      </c>
      <c r="D19" s="1">
        <f t="shared" si="0"/>
        <v>0</v>
      </c>
      <c r="E19" s="1"/>
      <c r="F19" s="1"/>
    </row>
    <row r="20" spans="1:6" ht="54" x14ac:dyDescent="0.3">
      <c r="A20" s="230" t="s">
        <v>72</v>
      </c>
      <c r="B20" s="231">
        <v>440</v>
      </c>
      <c r="C20" s="231" t="s">
        <v>5</v>
      </c>
      <c r="D20" s="1">
        <f t="shared" si="0"/>
        <v>0</v>
      </c>
      <c r="E20" s="1"/>
      <c r="F20" s="1"/>
    </row>
    <row r="21" spans="1:6" ht="36" x14ac:dyDescent="0.3">
      <c r="A21" s="230" t="s">
        <v>50</v>
      </c>
      <c r="B21" s="231" t="s">
        <v>5</v>
      </c>
      <c r="C21" s="231" t="s">
        <v>5</v>
      </c>
      <c r="D21" s="1">
        <f t="shared" si="0"/>
        <v>0</v>
      </c>
      <c r="E21" s="1">
        <f>E23+E24</f>
        <v>0</v>
      </c>
      <c r="F21" s="1">
        <f>F23+F24</f>
        <v>0</v>
      </c>
    </row>
    <row r="22" spans="1:6" ht="27" customHeight="1" x14ac:dyDescent="0.3">
      <c r="A22" s="230" t="s">
        <v>9</v>
      </c>
      <c r="B22" s="231"/>
      <c r="C22" s="231"/>
      <c r="D22" s="1"/>
      <c r="E22" s="1"/>
      <c r="F22" s="1"/>
    </row>
    <row r="23" spans="1:6" ht="132" customHeight="1" x14ac:dyDescent="0.3">
      <c r="A23" s="230" t="s">
        <v>70</v>
      </c>
      <c r="B23" s="231">
        <v>510</v>
      </c>
      <c r="C23" s="231" t="s">
        <v>5</v>
      </c>
      <c r="D23" s="1">
        <f t="shared" si="0"/>
        <v>0</v>
      </c>
      <c r="E23" s="1"/>
      <c r="F23" s="1"/>
    </row>
    <row r="24" spans="1:6" ht="150.75" customHeight="1" x14ac:dyDescent="0.3">
      <c r="A24" s="230" t="s">
        <v>266</v>
      </c>
      <c r="B24" s="231">
        <v>510</v>
      </c>
      <c r="C24" s="231" t="s">
        <v>5</v>
      </c>
      <c r="D24" s="1">
        <f t="shared" si="0"/>
        <v>0</v>
      </c>
      <c r="E24" s="1"/>
      <c r="F24" s="1"/>
    </row>
    <row r="25" spans="1:6" ht="26.4" customHeight="1" x14ac:dyDescent="0.3">
      <c r="A25" s="230" t="s">
        <v>7</v>
      </c>
      <c r="B25" s="231" t="s">
        <v>5</v>
      </c>
      <c r="C25" s="231">
        <v>900</v>
      </c>
      <c r="D25" s="3">
        <f t="shared" si="0"/>
        <v>44814601.760000005</v>
      </c>
      <c r="E25" s="1">
        <f>E27+E93</f>
        <v>44814601.760000005</v>
      </c>
      <c r="F25" s="1">
        <f>F27+F93</f>
        <v>0</v>
      </c>
    </row>
    <row r="26" spans="1:6" ht="26.4" customHeight="1" x14ac:dyDescent="0.3">
      <c r="A26" s="230" t="s">
        <v>6</v>
      </c>
      <c r="B26" s="231"/>
      <c r="C26" s="231"/>
      <c r="D26" s="3"/>
      <c r="E26" s="1"/>
      <c r="F26" s="1"/>
    </row>
    <row r="27" spans="1:6" ht="26.4" customHeight="1" x14ac:dyDescent="0.3">
      <c r="A27" s="230" t="s">
        <v>8</v>
      </c>
      <c r="B27" s="231" t="s">
        <v>5</v>
      </c>
      <c r="C27" s="231">
        <v>200</v>
      </c>
      <c r="D27" s="3">
        <f t="shared" si="0"/>
        <v>33128828.180000007</v>
      </c>
      <c r="E27" s="1">
        <f>E29+E37+E65+E72</f>
        <v>33128828.180000007</v>
      </c>
      <c r="F27" s="1">
        <f>F29+F37+F65+F72</f>
        <v>0</v>
      </c>
    </row>
    <row r="28" spans="1:6" ht="26.4" customHeight="1" x14ac:dyDescent="0.3">
      <c r="A28" s="230" t="s">
        <v>9</v>
      </c>
      <c r="B28" s="231"/>
      <c r="C28" s="231"/>
      <c r="D28" s="3"/>
      <c r="E28" s="1"/>
      <c r="F28" s="1"/>
    </row>
    <row r="29" spans="1:6" ht="72" x14ac:dyDescent="0.3">
      <c r="A29" s="230" t="s">
        <v>10</v>
      </c>
      <c r="B29" s="231" t="s">
        <v>5</v>
      </c>
      <c r="C29" s="231">
        <v>210</v>
      </c>
      <c r="D29" s="3">
        <f t="shared" si="0"/>
        <v>18984431.670000002</v>
      </c>
      <c r="E29" s="1">
        <f>E31+E32+E33+E34</f>
        <v>18984431.670000002</v>
      </c>
      <c r="F29" s="1">
        <f>F31+F32+F33+F34</f>
        <v>0</v>
      </c>
    </row>
    <row r="30" spans="1:6" ht="25.2" customHeight="1" x14ac:dyDescent="0.3">
      <c r="A30" s="230" t="s">
        <v>9</v>
      </c>
      <c r="B30" s="231"/>
      <c r="C30" s="231"/>
      <c r="D30" s="3"/>
      <c r="E30" s="1"/>
      <c r="F30" s="1"/>
    </row>
    <row r="31" spans="1:6" ht="25.2" customHeight="1" x14ac:dyDescent="0.3">
      <c r="A31" s="230" t="s">
        <v>11</v>
      </c>
      <c r="B31" s="231">
        <v>111</v>
      </c>
      <c r="C31" s="231">
        <v>211</v>
      </c>
      <c r="D31" s="3">
        <f t="shared" si="0"/>
        <v>14351952.75</v>
      </c>
      <c r="E31" s="1">
        <f>10084485.41+603997.92+1152074+741168+268817+376344+125066.42+1000000</f>
        <v>14351952.75</v>
      </c>
      <c r="F31" s="1"/>
    </row>
    <row r="32" spans="1:6" ht="78" customHeight="1" x14ac:dyDescent="0.3">
      <c r="A32" s="230" t="s">
        <v>12</v>
      </c>
      <c r="B32" s="231">
        <v>112</v>
      </c>
      <c r="C32" s="231">
        <v>212</v>
      </c>
      <c r="D32" s="3">
        <f t="shared" si="0"/>
        <v>18300</v>
      </c>
      <c r="E32" s="1">
        <f>50000-31700</f>
        <v>18300</v>
      </c>
      <c r="F32" s="1"/>
    </row>
    <row r="33" spans="1:6" ht="60" customHeight="1" x14ac:dyDescent="0.3">
      <c r="A33" s="230" t="s">
        <v>13</v>
      </c>
      <c r="B33" s="231">
        <v>119</v>
      </c>
      <c r="C33" s="231">
        <v>213</v>
      </c>
      <c r="D33" s="3">
        <f t="shared" si="0"/>
        <v>4294717.92</v>
      </c>
      <c r="E33" s="1">
        <f>3045514.59+182407.37+347926+223832+81183+113656-1801.04+302000</f>
        <v>4294717.92</v>
      </c>
      <c r="F33" s="1"/>
    </row>
    <row r="34" spans="1:6" ht="94.5" customHeight="1" x14ac:dyDescent="0.3">
      <c r="A34" s="230" t="s">
        <v>200</v>
      </c>
      <c r="B34" s="231" t="s">
        <v>5</v>
      </c>
      <c r="C34" s="231">
        <v>214</v>
      </c>
      <c r="D34" s="3">
        <f>E34+F34</f>
        <v>319461</v>
      </c>
      <c r="E34" s="1">
        <f>E35+E36</f>
        <v>319461</v>
      </c>
      <c r="F34" s="1">
        <f>F35+F36</f>
        <v>0</v>
      </c>
    </row>
    <row r="35" spans="1:6" ht="24" customHeight="1" x14ac:dyDescent="0.3">
      <c r="A35" s="411" t="s">
        <v>6</v>
      </c>
      <c r="B35" s="231">
        <v>112</v>
      </c>
      <c r="C35" s="231">
        <v>214</v>
      </c>
      <c r="D35" s="3">
        <f t="shared" si="0"/>
        <v>319461</v>
      </c>
      <c r="E35" s="1">
        <f>297940+30000+10000-18479</f>
        <v>319461</v>
      </c>
      <c r="F35" s="1"/>
    </row>
    <row r="36" spans="1:6" ht="24" customHeight="1" x14ac:dyDescent="0.3">
      <c r="A36" s="411"/>
      <c r="B36" s="231">
        <v>244</v>
      </c>
      <c r="C36" s="231">
        <v>214</v>
      </c>
      <c r="D36" s="3">
        <v>0</v>
      </c>
      <c r="E36" s="1"/>
      <c r="F36" s="1"/>
    </row>
    <row r="37" spans="1:6" ht="36" x14ac:dyDescent="0.3">
      <c r="A37" s="230" t="s">
        <v>14</v>
      </c>
      <c r="B37" s="231" t="s">
        <v>5</v>
      </c>
      <c r="C37" s="231">
        <v>220</v>
      </c>
      <c r="D37" s="3">
        <f t="shared" si="0"/>
        <v>13818375.270000001</v>
      </c>
      <c r="E37" s="1">
        <f>E39+E40+E43+E53+E54+E57+E63</f>
        <v>13818375.270000001</v>
      </c>
      <c r="F37" s="1">
        <f>F39+F40+F43+F53+F54+F57+F63</f>
        <v>0</v>
      </c>
    </row>
    <row r="38" spans="1:6" ht="23.4" customHeight="1" x14ac:dyDescent="0.3">
      <c r="A38" s="230" t="s">
        <v>9</v>
      </c>
      <c r="B38" s="231"/>
      <c r="C38" s="231"/>
      <c r="D38" s="3"/>
      <c r="E38" s="1"/>
      <c r="F38" s="1"/>
    </row>
    <row r="39" spans="1:6" ht="23.4" customHeight="1" x14ac:dyDescent="0.3">
      <c r="A39" s="230" t="s">
        <v>15</v>
      </c>
      <c r="B39" s="231">
        <v>244</v>
      </c>
      <c r="C39" s="231">
        <v>221</v>
      </c>
      <c r="D39" s="3">
        <f t="shared" si="0"/>
        <v>390000</v>
      </c>
      <c r="E39" s="1">
        <f>290000+100000</f>
        <v>390000</v>
      </c>
      <c r="F39" s="1"/>
    </row>
    <row r="40" spans="1:6" ht="36" x14ac:dyDescent="0.3">
      <c r="A40" s="230" t="s">
        <v>16</v>
      </c>
      <c r="B40" s="231" t="s">
        <v>5</v>
      </c>
      <c r="C40" s="231">
        <v>222</v>
      </c>
      <c r="D40" s="3">
        <f t="shared" si="0"/>
        <v>181347.08</v>
      </c>
      <c r="E40" s="1">
        <f>E41+E42</f>
        <v>181347.08</v>
      </c>
      <c r="F40" s="1">
        <f>F41+F42</f>
        <v>0</v>
      </c>
    </row>
    <row r="41" spans="1:6" ht="22.95" customHeight="1" x14ac:dyDescent="0.3">
      <c r="A41" s="407" t="s">
        <v>6</v>
      </c>
      <c r="B41" s="231">
        <v>112</v>
      </c>
      <c r="C41" s="231">
        <v>222</v>
      </c>
      <c r="D41" s="3">
        <f t="shared" si="0"/>
        <v>0</v>
      </c>
      <c r="E41" s="1"/>
      <c r="F41" s="1"/>
    </row>
    <row r="42" spans="1:6" ht="18" x14ac:dyDescent="0.3">
      <c r="A42" s="407"/>
      <c r="B42" s="231">
        <v>244</v>
      </c>
      <c r="C42" s="231">
        <v>222</v>
      </c>
      <c r="D42" s="3">
        <f t="shared" si="0"/>
        <v>181347.08</v>
      </c>
      <c r="E42" s="1">
        <f>500000-60000-150000-150000+50000-8652.92</f>
        <v>181347.08</v>
      </c>
      <c r="F42" s="1"/>
    </row>
    <row r="43" spans="1:6" ht="36" x14ac:dyDescent="0.3">
      <c r="A43" s="230" t="s">
        <v>17</v>
      </c>
      <c r="B43" s="231" t="s">
        <v>5</v>
      </c>
      <c r="C43" s="231">
        <v>223</v>
      </c>
      <c r="D43" s="3">
        <f t="shared" si="0"/>
        <v>521159.2</v>
      </c>
      <c r="E43" s="1">
        <f>E48+E49+E50+E51+E52</f>
        <v>521159.2</v>
      </c>
      <c r="F43" s="1">
        <f>F48+F49+F50+F51+F52</f>
        <v>0</v>
      </c>
    </row>
    <row r="44" spans="1:6" ht="25.2" customHeight="1" x14ac:dyDescent="0.3">
      <c r="A44" s="230" t="s">
        <v>6</v>
      </c>
      <c r="B44" s="231"/>
      <c r="C44" s="231"/>
      <c r="D44" s="3"/>
      <c r="E44" s="1"/>
      <c r="F44" s="1"/>
    </row>
    <row r="45" spans="1:6" ht="55.5" customHeight="1" x14ac:dyDescent="0.3">
      <c r="A45" s="261" t="s">
        <v>18</v>
      </c>
      <c r="B45" s="262">
        <v>244</v>
      </c>
      <c r="C45" s="262">
        <v>223</v>
      </c>
      <c r="D45" s="3"/>
      <c r="E45" s="1"/>
      <c r="F45" s="1"/>
    </row>
    <row r="46" spans="1:6" ht="41.25" customHeight="1" x14ac:dyDescent="0.3">
      <c r="A46" s="316" t="s">
        <v>19</v>
      </c>
      <c r="B46" s="317">
        <v>244</v>
      </c>
      <c r="C46" s="317">
        <v>223</v>
      </c>
      <c r="D46" s="3"/>
      <c r="E46" s="1"/>
      <c r="F46" s="1"/>
    </row>
    <row r="47" spans="1:6" ht="54.75" customHeight="1" x14ac:dyDescent="0.3">
      <c r="A47" s="316" t="s">
        <v>20</v>
      </c>
      <c r="B47" s="317">
        <v>244</v>
      </c>
      <c r="C47" s="317">
        <v>223</v>
      </c>
      <c r="D47" s="3"/>
      <c r="E47" s="1"/>
      <c r="F47" s="1"/>
    </row>
    <row r="48" spans="1:6" ht="54" x14ac:dyDescent="0.3">
      <c r="A48" s="230" t="s">
        <v>18</v>
      </c>
      <c r="B48" s="231">
        <v>247</v>
      </c>
      <c r="C48" s="231">
        <v>223</v>
      </c>
      <c r="D48" s="3">
        <f t="shared" si="0"/>
        <v>100000</v>
      </c>
      <c r="E48" s="1">
        <f>100000</f>
        <v>100000</v>
      </c>
      <c r="F48" s="1"/>
    </row>
    <row r="49" spans="1:6" ht="36" x14ac:dyDescent="0.3">
      <c r="A49" s="230" t="s">
        <v>19</v>
      </c>
      <c r="B49" s="231">
        <v>247</v>
      </c>
      <c r="C49" s="231">
        <v>223</v>
      </c>
      <c r="D49" s="3">
        <f t="shared" si="0"/>
        <v>0</v>
      </c>
      <c r="E49" s="1"/>
      <c r="F49" s="1"/>
    </row>
    <row r="50" spans="1:6" ht="63" customHeight="1" x14ac:dyDescent="0.3">
      <c r="A50" s="230" t="s">
        <v>20</v>
      </c>
      <c r="B50" s="231">
        <v>247</v>
      </c>
      <c r="C50" s="231">
        <v>223</v>
      </c>
      <c r="D50" s="3">
        <f t="shared" si="0"/>
        <v>150000</v>
      </c>
      <c r="E50" s="1">
        <f>100000+50000</f>
        <v>150000</v>
      </c>
      <c r="F50" s="1"/>
    </row>
    <row r="51" spans="1:6" ht="80.400000000000006" customHeight="1" x14ac:dyDescent="0.3">
      <c r="A51" s="230" t="s">
        <v>21</v>
      </c>
      <c r="B51" s="231">
        <v>244</v>
      </c>
      <c r="C51" s="231">
        <v>223</v>
      </c>
      <c r="D51" s="3">
        <f t="shared" si="0"/>
        <v>150000</v>
      </c>
      <c r="E51" s="1">
        <f>100000+50000</f>
        <v>150000</v>
      </c>
      <c r="F51" s="1"/>
    </row>
    <row r="52" spans="1:6" ht="54" x14ac:dyDescent="0.3">
      <c r="A52" s="230" t="s">
        <v>22</v>
      </c>
      <c r="B52" s="231">
        <v>244</v>
      </c>
      <c r="C52" s="231">
        <v>223</v>
      </c>
      <c r="D52" s="3">
        <f t="shared" si="0"/>
        <v>121159.2</v>
      </c>
      <c r="E52" s="357">
        <f>100000+20239.28+919.92</f>
        <v>121159.2</v>
      </c>
      <c r="F52" s="1"/>
    </row>
    <row r="53" spans="1:6" ht="169.5" customHeight="1" x14ac:dyDescent="0.3">
      <c r="A53" s="230" t="s">
        <v>23</v>
      </c>
      <c r="B53" s="231">
        <v>244</v>
      </c>
      <c r="C53" s="231">
        <v>224</v>
      </c>
      <c r="D53" s="3">
        <f t="shared" si="0"/>
        <v>0</v>
      </c>
      <c r="E53" s="1"/>
      <c r="F53" s="1"/>
    </row>
    <row r="54" spans="1:6" ht="54" x14ac:dyDescent="0.3">
      <c r="A54" s="230" t="s">
        <v>24</v>
      </c>
      <c r="B54" s="231" t="s">
        <v>5</v>
      </c>
      <c r="C54" s="231">
        <v>225</v>
      </c>
      <c r="D54" s="1">
        <f>D55+D56</f>
        <v>4720000</v>
      </c>
      <c r="E54" s="1">
        <f>E55+E56</f>
        <v>4720000</v>
      </c>
      <c r="F54" s="1">
        <f>F55+F56</f>
        <v>0</v>
      </c>
    </row>
    <row r="55" spans="1:6" ht="18" x14ac:dyDescent="0.3">
      <c r="A55" s="407" t="s">
        <v>6</v>
      </c>
      <c r="B55" s="231">
        <v>243</v>
      </c>
      <c r="C55" s="231">
        <v>225</v>
      </c>
      <c r="D55" s="3">
        <f t="shared" si="0"/>
        <v>0</v>
      </c>
      <c r="E55" s="1"/>
      <c r="F55" s="1"/>
    </row>
    <row r="56" spans="1:6" ht="18" x14ac:dyDescent="0.3">
      <c r="A56" s="407"/>
      <c r="B56" s="231">
        <v>244</v>
      </c>
      <c r="C56" s="231">
        <v>225</v>
      </c>
      <c r="D56" s="3">
        <f t="shared" si="0"/>
        <v>4720000</v>
      </c>
      <c r="E56" s="1">
        <f>2000000+720000+400000+600000+500000+500000</f>
        <v>4720000</v>
      </c>
      <c r="F56" s="1"/>
    </row>
    <row r="57" spans="1:6" ht="36" x14ac:dyDescent="0.3">
      <c r="A57" s="230" t="s">
        <v>58</v>
      </c>
      <c r="B57" s="231" t="s">
        <v>5</v>
      </c>
      <c r="C57" s="231">
        <v>226</v>
      </c>
      <c r="D57" s="3">
        <f t="shared" si="0"/>
        <v>7986057</v>
      </c>
      <c r="E57" s="1">
        <f>E58+E59+E61+E62+E60</f>
        <v>7986057</v>
      </c>
      <c r="F57" s="1">
        <f>F58+F59+F61+F62+F60</f>
        <v>0</v>
      </c>
    </row>
    <row r="58" spans="1:6" ht="19.95" customHeight="1" x14ac:dyDescent="0.3">
      <c r="A58" s="407" t="s">
        <v>6</v>
      </c>
      <c r="B58" s="231">
        <v>112</v>
      </c>
      <c r="C58" s="231">
        <v>226</v>
      </c>
      <c r="D58" s="3">
        <f t="shared" si="0"/>
        <v>15000</v>
      </c>
      <c r="E58" s="1">
        <f>75000-60000</f>
        <v>15000</v>
      </c>
      <c r="F58" s="1"/>
    </row>
    <row r="59" spans="1:6" ht="19.95" customHeight="1" x14ac:dyDescent="0.3">
      <c r="A59" s="407"/>
      <c r="B59" s="231">
        <v>113</v>
      </c>
      <c r="C59" s="231">
        <v>226</v>
      </c>
      <c r="D59" s="3">
        <f t="shared" si="0"/>
        <v>0</v>
      </c>
      <c r="E59" s="1"/>
      <c r="F59" s="1"/>
    </row>
    <row r="60" spans="1:6" ht="19.95" customHeight="1" x14ac:dyDescent="0.3">
      <c r="A60" s="407"/>
      <c r="B60" s="231">
        <v>119</v>
      </c>
      <c r="C60" s="231">
        <v>226</v>
      </c>
      <c r="D60" s="3">
        <f t="shared" si="0"/>
        <v>0</v>
      </c>
      <c r="E60" s="1"/>
      <c r="F60" s="1"/>
    </row>
    <row r="61" spans="1:6" ht="19.95" customHeight="1" x14ac:dyDescent="0.3">
      <c r="A61" s="407"/>
      <c r="B61" s="231">
        <v>243</v>
      </c>
      <c r="C61" s="231">
        <v>226</v>
      </c>
      <c r="D61" s="3">
        <f t="shared" si="0"/>
        <v>160000</v>
      </c>
      <c r="E61" s="1">
        <v>160000</v>
      </c>
      <c r="F61" s="1"/>
    </row>
    <row r="62" spans="1:6" ht="19.95" customHeight="1" x14ac:dyDescent="0.3">
      <c r="A62" s="407"/>
      <c r="B62" s="231">
        <v>244</v>
      </c>
      <c r="C62" s="231">
        <v>226</v>
      </c>
      <c r="D62" s="3">
        <f t="shared" si="0"/>
        <v>7811057</v>
      </c>
      <c r="E62" s="1">
        <f>4621057+250000+440000+500000+1000000+1000000</f>
        <v>7811057</v>
      </c>
      <c r="F62" s="1"/>
    </row>
    <row r="63" spans="1:6" ht="24.6" customHeight="1" x14ac:dyDescent="0.3">
      <c r="A63" s="230" t="s">
        <v>25</v>
      </c>
      <c r="B63" s="231">
        <v>244</v>
      </c>
      <c r="C63" s="231">
        <v>227</v>
      </c>
      <c r="D63" s="3">
        <f t="shared" si="0"/>
        <v>19811.989999999998</v>
      </c>
      <c r="E63" s="1">
        <f>10000+2078.99+7733</f>
        <v>19811.989999999998</v>
      </c>
      <c r="F63" s="1"/>
    </row>
    <row r="64" spans="1:6" ht="58.2" customHeight="1" x14ac:dyDescent="0.3">
      <c r="A64" s="261" t="s">
        <v>445</v>
      </c>
      <c r="B64" s="262">
        <v>244</v>
      </c>
      <c r="C64" s="262">
        <v>228</v>
      </c>
      <c r="D64" s="3">
        <v>0</v>
      </c>
      <c r="E64" s="1"/>
      <c r="F64" s="1"/>
    </row>
    <row r="65" spans="1:6" ht="36" x14ac:dyDescent="0.3">
      <c r="A65" s="230" t="s">
        <v>26</v>
      </c>
      <c r="B65" s="231" t="s">
        <v>5</v>
      </c>
      <c r="C65" s="231">
        <v>260</v>
      </c>
      <c r="D65" s="3">
        <f t="shared" si="0"/>
        <v>206913.62</v>
      </c>
      <c r="E65" s="1">
        <f>E66+E67+E71</f>
        <v>206913.62</v>
      </c>
      <c r="F65" s="1">
        <f>F66+F67+F71</f>
        <v>0</v>
      </c>
    </row>
    <row r="66" spans="1:6" ht="117.75" customHeight="1" x14ac:dyDescent="0.3">
      <c r="A66" s="230" t="s">
        <v>27</v>
      </c>
      <c r="B66" s="231">
        <v>321</v>
      </c>
      <c r="C66" s="231">
        <v>264</v>
      </c>
      <c r="D66" s="3">
        <f t="shared" si="0"/>
        <v>0</v>
      </c>
      <c r="E66" s="1"/>
      <c r="F66" s="1"/>
    </row>
    <row r="67" spans="1:6" ht="96.75" customHeight="1" x14ac:dyDescent="0.3">
      <c r="A67" s="230" t="s">
        <v>28</v>
      </c>
      <c r="B67" s="231" t="s">
        <v>5</v>
      </c>
      <c r="C67" s="231">
        <v>266</v>
      </c>
      <c r="D67" s="3">
        <f t="shared" si="0"/>
        <v>206913.62</v>
      </c>
      <c r="E67" s="1">
        <f>E68+E69</f>
        <v>206913.62</v>
      </c>
      <c r="F67" s="1">
        <f>F68+F69</f>
        <v>0</v>
      </c>
    </row>
    <row r="68" spans="1:6" ht="18" x14ac:dyDescent="0.3">
      <c r="A68" s="393" t="s">
        <v>6</v>
      </c>
      <c r="B68" s="231">
        <v>111</v>
      </c>
      <c r="C68" s="231">
        <v>266</v>
      </c>
      <c r="D68" s="3">
        <f t="shared" si="0"/>
        <v>26913.620000000003</v>
      </c>
      <c r="E68" s="1">
        <f>25000+10000+5000-13086.38</f>
        <v>26913.620000000003</v>
      </c>
      <c r="F68" s="1"/>
    </row>
    <row r="69" spans="1:6" ht="18" x14ac:dyDescent="0.3">
      <c r="A69" s="498"/>
      <c r="B69" s="231">
        <v>112</v>
      </c>
      <c r="C69" s="231">
        <v>266</v>
      </c>
      <c r="D69" s="3">
        <f t="shared" si="0"/>
        <v>180000</v>
      </c>
      <c r="E69" s="1">
        <v>180000</v>
      </c>
      <c r="F69" s="1"/>
    </row>
    <row r="70" spans="1:6" ht="18" x14ac:dyDescent="0.3">
      <c r="A70" s="394"/>
      <c r="B70" s="372">
        <v>119</v>
      </c>
      <c r="C70" s="372">
        <v>266</v>
      </c>
      <c r="D70" s="3"/>
      <c r="E70" s="1"/>
      <c r="F70" s="1"/>
    </row>
    <row r="71" spans="1:6" ht="72" x14ac:dyDescent="0.3">
      <c r="A71" s="230" t="s">
        <v>29</v>
      </c>
      <c r="B71" s="231">
        <v>112</v>
      </c>
      <c r="C71" s="231">
        <v>267</v>
      </c>
      <c r="D71" s="3">
        <f t="shared" si="0"/>
        <v>0</v>
      </c>
      <c r="E71" s="1"/>
      <c r="F71" s="1"/>
    </row>
    <row r="72" spans="1:6" ht="18" x14ac:dyDescent="0.3">
      <c r="A72" s="230" t="s">
        <v>30</v>
      </c>
      <c r="B72" s="231" t="s">
        <v>5</v>
      </c>
      <c r="C72" s="231">
        <v>290</v>
      </c>
      <c r="D72" s="3">
        <f t="shared" si="0"/>
        <v>119107.62</v>
      </c>
      <c r="E72" s="1">
        <f>E74+E78+E79+E80+E81+E88</f>
        <v>119107.62</v>
      </c>
      <c r="F72" s="1">
        <f>F74+F78+F79+F80+F81+F88</f>
        <v>0</v>
      </c>
    </row>
    <row r="73" spans="1:6" ht="18" x14ac:dyDescent="0.3">
      <c r="A73" s="230" t="s">
        <v>9</v>
      </c>
      <c r="B73" s="231"/>
      <c r="C73" s="231"/>
      <c r="D73" s="3">
        <f t="shared" si="0"/>
        <v>0</v>
      </c>
      <c r="E73" s="1"/>
      <c r="F73" s="1"/>
    </row>
    <row r="74" spans="1:6" ht="36" x14ac:dyDescent="0.3">
      <c r="A74" s="230" t="s">
        <v>31</v>
      </c>
      <c r="B74" s="231" t="s">
        <v>5</v>
      </c>
      <c r="C74" s="231">
        <v>291</v>
      </c>
      <c r="D74" s="3">
        <f t="shared" si="0"/>
        <v>86107.62</v>
      </c>
      <c r="E74" s="1">
        <f>E75+E76+E77</f>
        <v>86107.62</v>
      </c>
      <c r="F74" s="1">
        <f>F75+F76+F77</f>
        <v>0</v>
      </c>
    </row>
    <row r="75" spans="1:6" ht="18" x14ac:dyDescent="0.3">
      <c r="A75" s="407" t="s">
        <v>6</v>
      </c>
      <c r="B75" s="231">
        <v>851</v>
      </c>
      <c r="C75" s="231">
        <v>291</v>
      </c>
      <c r="D75" s="3">
        <f t="shared" si="0"/>
        <v>77000</v>
      </c>
      <c r="E75" s="1">
        <f>80000-3000</f>
        <v>77000</v>
      </c>
      <c r="F75" s="1"/>
    </row>
    <row r="76" spans="1:6" ht="18" x14ac:dyDescent="0.3">
      <c r="A76" s="407"/>
      <c r="B76" s="231">
        <v>852</v>
      </c>
      <c r="C76" s="231">
        <v>291</v>
      </c>
      <c r="D76" s="3">
        <f t="shared" si="0"/>
        <v>9000</v>
      </c>
      <c r="E76" s="1">
        <f>9000</f>
        <v>9000</v>
      </c>
      <c r="F76" s="1"/>
    </row>
    <row r="77" spans="1:6" ht="18" x14ac:dyDescent="0.3">
      <c r="A77" s="407"/>
      <c r="B77" s="231">
        <v>853</v>
      </c>
      <c r="C77" s="231">
        <v>291</v>
      </c>
      <c r="D77" s="3">
        <f t="shared" si="0"/>
        <v>107.62</v>
      </c>
      <c r="E77" s="1">
        <v>107.62</v>
      </c>
      <c r="F77" s="1"/>
    </row>
    <row r="78" spans="1:6" ht="108" x14ac:dyDescent="0.3">
      <c r="A78" s="230" t="s">
        <v>32</v>
      </c>
      <c r="B78" s="231">
        <v>853</v>
      </c>
      <c r="C78" s="231">
        <v>292</v>
      </c>
      <c r="D78" s="3">
        <f t="shared" ref="D78:D111" si="1">E78+F78</f>
        <v>3000</v>
      </c>
      <c r="E78" s="1">
        <v>3000</v>
      </c>
      <c r="F78" s="1">
        <v>0</v>
      </c>
    </row>
    <row r="79" spans="1:6" ht="126" x14ac:dyDescent="0.3">
      <c r="A79" s="230" t="s">
        <v>33</v>
      </c>
      <c r="B79" s="231">
        <v>853</v>
      </c>
      <c r="C79" s="231">
        <v>293</v>
      </c>
      <c r="D79" s="3">
        <f t="shared" si="1"/>
        <v>0</v>
      </c>
      <c r="E79" s="1"/>
      <c r="F79" s="1">
        <v>0</v>
      </c>
    </row>
    <row r="80" spans="1:6" ht="54" x14ac:dyDescent="0.3">
      <c r="A80" s="230" t="s">
        <v>157</v>
      </c>
      <c r="B80" s="231">
        <v>853</v>
      </c>
      <c r="C80" s="231">
        <v>295</v>
      </c>
      <c r="D80" s="3">
        <f t="shared" si="1"/>
        <v>0</v>
      </c>
      <c r="E80" s="1"/>
      <c r="F80" s="1">
        <v>0</v>
      </c>
    </row>
    <row r="81" spans="1:6" ht="54" x14ac:dyDescent="0.3">
      <c r="A81" s="230" t="s">
        <v>34</v>
      </c>
      <c r="B81" s="231" t="s">
        <v>5</v>
      </c>
      <c r="C81" s="231">
        <v>296</v>
      </c>
      <c r="D81" s="3">
        <f t="shared" si="1"/>
        <v>0</v>
      </c>
      <c r="E81" s="1">
        <f>E82+E83+E84+E85+E87</f>
        <v>0</v>
      </c>
      <c r="F81" s="1">
        <f>F82+F83+F84+F85+F87</f>
        <v>0</v>
      </c>
    </row>
    <row r="82" spans="1:6" ht="18" x14ac:dyDescent="0.3">
      <c r="A82" s="407" t="s">
        <v>6</v>
      </c>
      <c r="B82" s="231">
        <v>244</v>
      </c>
      <c r="C82" s="231">
        <v>296</v>
      </c>
      <c r="D82" s="3">
        <f t="shared" si="1"/>
        <v>0</v>
      </c>
      <c r="E82" s="1"/>
      <c r="F82" s="1"/>
    </row>
    <row r="83" spans="1:6" ht="18" x14ac:dyDescent="0.3">
      <c r="A83" s="407"/>
      <c r="B83" s="231">
        <v>340</v>
      </c>
      <c r="C83" s="231">
        <v>296</v>
      </c>
      <c r="D83" s="3">
        <f t="shared" si="1"/>
        <v>0</v>
      </c>
      <c r="E83" s="1"/>
      <c r="F83" s="1"/>
    </row>
    <row r="84" spans="1:6" ht="18" x14ac:dyDescent="0.3">
      <c r="A84" s="407"/>
      <c r="B84" s="231">
        <v>350</v>
      </c>
      <c r="C84" s="231">
        <v>296</v>
      </c>
      <c r="D84" s="3">
        <f t="shared" si="1"/>
        <v>0</v>
      </c>
      <c r="E84" s="1"/>
      <c r="F84" s="1"/>
    </row>
    <row r="85" spans="1:6" ht="18" x14ac:dyDescent="0.3">
      <c r="A85" s="407"/>
      <c r="B85" s="231">
        <v>360</v>
      </c>
      <c r="C85" s="231">
        <v>296</v>
      </c>
      <c r="D85" s="3">
        <f t="shared" si="1"/>
        <v>0</v>
      </c>
      <c r="E85" s="1"/>
      <c r="F85" s="1"/>
    </row>
    <row r="86" spans="1:6" ht="18" x14ac:dyDescent="0.3">
      <c r="A86" s="407"/>
      <c r="B86" s="368">
        <v>831</v>
      </c>
      <c r="C86" s="368">
        <v>296</v>
      </c>
      <c r="D86" s="3">
        <f>E86</f>
        <v>0</v>
      </c>
      <c r="E86" s="1"/>
      <c r="F86" s="1"/>
    </row>
    <row r="87" spans="1:6" ht="18" x14ac:dyDescent="0.3">
      <c r="A87" s="407"/>
      <c r="B87" s="231">
        <v>853</v>
      </c>
      <c r="C87" s="231">
        <v>296</v>
      </c>
      <c r="D87" s="3">
        <f t="shared" si="1"/>
        <v>0</v>
      </c>
      <c r="E87" s="1"/>
      <c r="F87" s="1"/>
    </row>
    <row r="88" spans="1:6" ht="54" customHeight="1" x14ac:dyDescent="0.3">
      <c r="A88" s="230" t="s">
        <v>35</v>
      </c>
      <c r="B88" s="231" t="s">
        <v>5</v>
      </c>
      <c r="C88" s="231">
        <v>297</v>
      </c>
      <c r="D88" s="3">
        <f t="shared" si="1"/>
        <v>30000</v>
      </c>
      <c r="E88" s="1">
        <f>E89+E92</f>
        <v>30000</v>
      </c>
      <c r="F88" s="1">
        <f>F89+F92</f>
        <v>0</v>
      </c>
    </row>
    <row r="89" spans="1:6" ht="18" x14ac:dyDescent="0.3">
      <c r="A89" s="407" t="s">
        <v>6</v>
      </c>
      <c r="B89" s="231">
        <v>244</v>
      </c>
      <c r="C89" s="231">
        <v>297</v>
      </c>
      <c r="D89" s="3">
        <f t="shared" si="1"/>
        <v>0</v>
      </c>
      <c r="E89" s="1"/>
      <c r="F89" s="1"/>
    </row>
    <row r="90" spans="1:6" ht="18" x14ac:dyDescent="0.3">
      <c r="A90" s="407"/>
      <c r="B90" s="368">
        <v>613</v>
      </c>
      <c r="C90" s="368">
        <v>297</v>
      </c>
      <c r="D90" s="3">
        <f>E90</f>
        <v>0</v>
      </c>
      <c r="E90" s="1"/>
      <c r="F90" s="1"/>
    </row>
    <row r="91" spans="1:6" ht="18" x14ac:dyDescent="0.3">
      <c r="A91" s="407"/>
      <c r="B91" s="318">
        <v>831</v>
      </c>
      <c r="C91" s="318">
        <v>297</v>
      </c>
      <c r="D91" s="3">
        <f>E91</f>
        <v>0</v>
      </c>
      <c r="E91" s="1"/>
      <c r="F91" s="1"/>
    </row>
    <row r="92" spans="1:6" ht="18" x14ac:dyDescent="0.3">
      <c r="A92" s="407"/>
      <c r="B92" s="231">
        <v>853</v>
      </c>
      <c r="C92" s="231">
        <v>297</v>
      </c>
      <c r="D92" s="3">
        <f t="shared" si="1"/>
        <v>30000</v>
      </c>
      <c r="E92" s="1">
        <v>30000</v>
      </c>
      <c r="F92" s="1"/>
    </row>
    <row r="93" spans="1:6" ht="54" x14ac:dyDescent="0.3">
      <c r="A93" s="230" t="s">
        <v>59</v>
      </c>
      <c r="B93" s="231" t="s">
        <v>5</v>
      </c>
      <c r="C93" s="231">
        <v>300</v>
      </c>
      <c r="D93" s="3">
        <f t="shared" si="1"/>
        <v>11685773.58</v>
      </c>
      <c r="E93" s="1">
        <f>E95+E97+E96</f>
        <v>11685773.58</v>
      </c>
      <c r="F93" s="1">
        <f>F95+F97+F96</f>
        <v>0</v>
      </c>
    </row>
    <row r="94" spans="1:6" ht="18" x14ac:dyDescent="0.3">
      <c r="A94" s="230" t="s">
        <v>9</v>
      </c>
      <c r="B94" s="231"/>
      <c r="C94" s="231"/>
      <c r="D94" s="3"/>
      <c r="E94" s="1"/>
      <c r="F94" s="1"/>
    </row>
    <row r="95" spans="1:6" ht="54" x14ac:dyDescent="0.3">
      <c r="A95" s="230" t="s">
        <v>36</v>
      </c>
      <c r="B95" s="231">
        <v>244</v>
      </c>
      <c r="C95" s="231">
        <v>310</v>
      </c>
      <c r="D95" s="3">
        <f t="shared" si="1"/>
        <v>5300000</v>
      </c>
      <c r="E95" s="1">
        <f>1500000+1500000+1500000+500000+300000</f>
        <v>5300000</v>
      </c>
      <c r="F95" s="1"/>
    </row>
    <row r="96" spans="1:6" ht="72" x14ac:dyDescent="0.3">
      <c r="A96" s="230" t="s">
        <v>68</v>
      </c>
      <c r="B96" s="231">
        <v>244</v>
      </c>
      <c r="C96" s="231">
        <v>320</v>
      </c>
      <c r="D96" s="3">
        <f t="shared" si="1"/>
        <v>0</v>
      </c>
      <c r="E96" s="1"/>
      <c r="F96" s="1"/>
    </row>
    <row r="97" spans="1:6" ht="72" x14ac:dyDescent="0.3">
      <c r="A97" s="230" t="s">
        <v>60</v>
      </c>
      <c r="B97" s="231" t="s">
        <v>5</v>
      </c>
      <c r="C97" s="231">
        <v>340</v>
      </c>
      <c r="D97" s="3">
        <f t="shared" si="1"/>
        <v>6385773.5800000001</v>
      </c>
      <c r="E97" s="1">
        <f>E99+E100+E101+E102+E103+E104+E106</f>
        <v>6385773.5800000001</v>
      </c>
      <c r="F97" s="1">
        <f>F99+F100+F101+F102+F103+F104+F106</f>
        <v>0</v>
      </c>
    </row>
    <row r="98" spans="1:6" ht="25.95" customHeight="1" x14ac:dyDescent="0.3">
      <c r="A98" s="230" t="s">
        <v>6</v>
      </c>
      <c r="B98" s="231"/>
      <c r="C98" s="231"/>
      <c r="D98" s="3"/>
      <c r="E98" s="1"/>
      <c r="F98" s="1"/>
    </row>
    <row r="99" spans="1:6" ht="126" x14ac:dyDescent="0.3">
      <c r="A99" s="230" t="s">
        <v>37</v>
      </c>
      <c r="B99" s="231">
        <v>244</v>
      </c>
      <c r="C99" s="231">
        <v>341</v>
      </c>
      <c r="D99" s="3">
        <f t="shared" si="1"/>
        <v>0</v>
      </c>
      <c r="E99" s="1"/>
      <c r="F99" s="1"/>
    </row>
    <row r="100" spans="1:6" ht="54" x14ac:dyDescent="0.3">
      <c r="A100" s="230" t="s">
        <v>38</v>
      </c>
      <c r="B100" s="231">
        <v>244</v>
      </c>
      <c r="C100" s="231">
        <v>342</v>
      </c>
      <c r="D100" s="3">
        <f t="shared" si="1"/>
        <v>0</v>
      </c>
      <c r="E100" s="1"/>
      <c r="F100" s="1"/>
    </row>
    <row r="101" spans="1:6" ht="72" x14ac:dyDescent="0.3">
      <c r="A101" s="230" t="s">
        <v>39</v>
      </c>
      <c r="B101" s="231">
        <v>244</v>
      </c>
      <c r="C101" s="231">
        <v>343</v>
      </c>
      <c r="D101" s="3">
        <f t="shared" si="1"/>
        <v>450000</v>
      </c>
      <c r="E101" s="1">
        <f>600000-150000</f>
        <v>450000</v>
      </c>
      <c r="F101" s="1"/>
    </row>
    <row r="102" spans="1:6" ht="72" x14ac:dyDescent="0.3">
      <c r="A102" s="230" t="s">
        <v>40</v>
      </c>
      <c r="B102" s="231">
        <v>244</v>
      </c>
      <c r="C102" s="231">
        <v>344</v>
      </c>
      <c r="D102" s="3">
        <f t="shared" si="1"/>
        <v>500000</v>
      </c>
      <c r="E102" s="1">
        <f>200000+900000-100000-500000</f>
        <v>500000</v>
      </c>
      <c r="F102" s="1"/>
    </row>
    <row r="103" spans="1:6" ht="54" x14ac:dyDescent="0.3">
      <c r="A103" s="230" t="s">
        <v>41</v>
      </c>
      <c r="B103" s="231">
        <v>244</v>
      </c>
      <c r="C103" s="231">
        <v>345</v>
      </c>
      <c r="D103" s="3">
        <f t="shared" si="1"/>
        <v>350000</v>
      </c>
      <c r="E103" s="1">
        <f>150000+100000+100000</f>
        <v>350000</v>
      </c>
      <c r="F103" s="1"/>
    </row>
    <row r="104" spans="1:6" ht="72" x14ac:dyDescent="0.3">
      <c r="A104" s="230" t="s">
        <v>42</v>
      </c>
      <c r="B104" s="231">
        <v>244</v>
      </c>
      <c r="C104" s="231">
        <v>346</v>
      </c>
      <c r="D104" s="3">
        <f t="shared" si="1"/>
        <v>4645773.58</v>
      </c>
      <c r="E104" s="1">
        <f>2300000+1538091.85-540239.28+97921.01+550000+700000</f>
        <v>4645773.58</v>
      </c>
      <c r="F104" s="1"/>
    </row>
    <row r="105" spans="1:6" ht="108" x14ac:dyDescent="0.3">
      <c r="A105" s="261" t="s">
        <v>446</v>
      </c>
      <c r="B105" s="262">
        <v>244</v>
      </c>
      <c r="C105" s="262">
        <v>347</v>
      </c>
      <c r="D105" s="3">
        <v>0</v>
      </c>
      <c r="E105" s="1">
        <v>0</v>
      </c>
      <c r="F105" s="1"/>
    </row>
    <row r="106" spans="1:6" ht="108" x14ac:dyDescent="0.3">
      <c r="A106" s="230" t="s">
        <v>43</v>
      </c>
      <c r="B106" s="231">
        <v>244</v>
      </c>
      <c r="C106" s="231">
        <v>349</v>
      </c>
      <c r="D106" s="3">
        <f t="shared" si="1"/>
        <v>440000</v>
      </c>
      <c r="E106" s="1">
        <f>290000+150000</f>
        <v>440000</v>
      </c>
      <c r="F106" s="1"/>
    </row>
    <row r="107" spans="1:6" ht="58.5" customHeight="1" x14ac:dyDescent="0.3">
      <c r="A107" s="230" t="s">
        <v>67</v>
      </c>
      <c r="B107" s="231" t="s">
        <v>5</v>
      </c>
      <c r="C107" s="231" t="s">
        <v>5</v>
      </c>
      <c r="D107" s="3">
        <f t="shared" si="1"/>
        <v>-772907</v>
      </c>
      <c r="E107" s="1">
        <f>E109+E110+E111</f>
        <v>-772907</v>
      </c>
      <c r="F107" s="1">
        <f>F109+F110+F111</f>
        <v>0</v>
      </c>
    </row>
    <row r="108" spans="1:6" ht="21" customHeight="1" x14ac:dyDescent="0.3">
      <c r="A108" s="230" t="s">
        <v>6</v>
      </c>
      <c r="B108" s="231"/>
      <c r="C108" s="231"/>
      <c r="D108" s="3"/>
      <c r="E108" s="1"/>
      <c r="F108" s="1"/>
    </row>
    <row r="109" spans="1:6" ht="25.95" customHeight="1" x14ac:dyDescent="0.3">
      <c r="A109" s="230" t="s">
        <v>193</v>
      </c>
      <c r="B109" s="231">
        <v>180</v>
      </c>
      <c r="C109" s="231" t="s">
        <v>5</v>
      </c>
      <c r="D109" s="3">
        <f t="shared" si="1"/>
        <v>-424211</v>
      </c>
      <c r="E109" s="1">
        <f>-424211</f>
        <v>-424211</v>
      </c>
      <c r="F109" s="1"/>
    </row>
    <row r="110" spans="1:6" ht="56.4" customHeight="1" x14ac:dyDescent="0.3">
      <c r="A110" s="230" t="s">
        <v>194</v>
      </c>
      <c r="B110" s="231">
        <v>180</v>
      </c>
      <c r="C110" s="231" t="s">
        <v>5</v>
      </c>
      <c r="D110" s="3">
        <f t="shared" si="1"/>
        <v>-348696</v>
      </c>
      <c r="E110" s="1">
        <f>-144603-204093</f>
        <v>-348696</v>
      </c>
      <c r="F110" s="1"/>
    </row>
    <row r="111" spans="1:6" ht="62.25" customHeight="1" x14ac:dyDescent="0.3">
      <c r="A111" s="230" t="s">
        <v>195</v>
      </c>
      <c r="B111" s="231">
        <v>180</v>
      </c>
      <c r="C111" s="231" t="s">
        <v>5</v>
      </c>
      <c r="D111" s="3">
        <f t="shared" si="1"/>
        <v>0</v>
      </c>
      <c r="E111" s="1"/>
      <c r="F111" s="1"/>
    </row>
    <row r="112" spans="1:6" ht="18" x14ac:dyDescent="0.3">
      <c r="A112" s="13"/>
      <c r="B112" s="17"/>
      <c r="C112" s="17"/>
      <c r="D112" s="34"/>
      <c r="E112" s="34"/>
      <c r="F112" s="34"/>
    </row>
    <row r="113" spans="1:10" ht="15" x14ac:dyDescent="0.3">
      <c r="A113" s="9"/>
    </row>
    <row r="114" spans="1:10" ht="18" x14ac:dyDescent="0.35">
      <c r="A114" s="395" t="s">
        <v>52</v>
      </c>
      <c r="B114" s="395"/>
      <c r="C114" s="182"/>
      <c r="D114" s="183"/>
      <c r="E114" s="400" t="s">
        <v>267</v>
      </c>
      <c r="F114" s="400"/>
    </row>
    <row r="115" spans="1:10" ht="18" x14ac:dyDescent="0.35">
      <c r="A115" s="27"/>
      <c r="B115" s="174"/>
      <c r="C115" s="173"/>
      <c r="D115" s="173" t="s">
        <v>53</v>
      </c>
      <c r="E115" s="401" t="s">
        <v>54</v>
      </c>
      <c r="F115" s="401"/>
    </row>
    <row r="116" spans="1:10" ht="18" x14ac:dyDescent="0.35">
      <c r="A116" s="27"/>
      <c r="B116" s="176"/>
      <c r="C116" s="8"/>
      <c r="D116" s="8"/>
      <c r="E116" s="8"/>
      <c r="F116" s="8"/>
    </row>
    <row r="117" spans="1:10" ht="18" x14ac:dyDescent="0.35">
      <c r="A117" s="395" t="s">
        <v>55</v>
      </c>
      <c r="B117" s="395"/>
      <c r="C117" s="182"/>
      <c r="D117" s="183"/>
      <c r="E117" s="400" t="s">
        <v>464</v>
      </c>
      <c r="F117" s="400"/>
    </row>
    <row r="118" spans="1:10" ht="18" x14ac:dyDescent="0.35">
      <c r="A118" s="27"/>
      <c r="B118" s="174"/>
      <c r="C118" s="173"/>
      <c r="D118" s="173" t="s">
        <v>53</v>
      </c>
      <c r="E118" s="401" t="s">
        <v>54</v>
      </c>
      <c r="F118" s="401"/>
    </row>
    <row r="119" spans="1:10" ht="18" x14ac:dyDescent="0.35">
      <c r="A119" s="27"/>
      <c r="B119" s="175"/>
      <c r="C119" s="153"/>
      <c r="D119" s="8"/>
      <c r="E119" s="104"/>
      <c r="F119" s="104"/>
    </row>
    <row r="120" spans="1:10" ht="18" x14ac:dyDescent="0.35">
      <c r="A120" s="27" t="s">
        <v>56</v>
      </c>
      <c r="B120" s="174"/>
      <c r="C120" s="182"/>
      <c r="D120" s="183"/>
      <c r="E120" s="400" t="s">
        <v>268</v>
      </c>
      <c r="F120" s="400"/>
    </row>
    <row r="121" spans="1:10" ht="18" x14ac:dyDescent="0.35">
      <c r="A121" s="27"/>
      <c r="B121" s="174"/>
      <c r="C121" s="173"/>
      <c r="D121" s="173" t="s">
        <v>53</v>
      </c>
      <c r="E121" s="401" t="s">
        <v>54</v>
      </c>
      <c r="F121" s="401"/>
    </row>
    <row r="122" spans="1:10" ht="18" x14ac:dyDescent="0.35">
      <c r="A122" s="27" t="s">
        <v>428</v>
      </c>
      <c r="B122" s="8"/>
      <c r="C122" s="8"/>
      <c r="D122" s="8"/>
      <c r="E122" s="8"/>
      <c r="F122" s="8"/>
    </row>
    <row r="123" spans="1:10" ht="18" x14ac:dyDescent="0.35">
      <c r="A123" s="396" t="s">
        <v>483</v>
      </c>
      <c r="B123" s="396"/>
      <c r="C123" s="8"/>
      <c r="D123" s="8"/>
      <c r="E123" s="8"/>
      <c r="F123" s="8"/>
    </row>
    <row r="124" spans="1:10" ht="21.75" customHeight="1" x14ac:dyDescent="0.35">
      <c r="A124" s="152"/>
      <c r="B124" s="152"/>
      <c r="C124" s="8"/>
      <c r="D124" s="8"/>
      <c r="E124" s="8"/>
      <c r="F124" s="8"/>
    </row>
    <row r="125" spans="1:10" ht="17.399999999999999" x14ac:dyDescent="0.3">
      <c r="A125" s="402" t="s">
        <v>191</v>
      </c>
      <c r="B125" s="402"/>
      <c r="C125" s="402"/>
      <c r="D125" s="402"/>
      <c r="E125" s="402"/>
      <c r="F125" s="402"/>
    </row>
    <row r="126" spans="1:10" ht="36" x14ac:dyDescent="0.3">
      <c r="A126" s="48" t="s">
        <v>234</v>
      </c>
      <c r="B126" s="52" t="s">
        <v>5</v>
      </c>
      <c r="C126" s="52" t="s">
        <v>5</v>
      </c>
      <c r="D126" s="3">
        <f>E126+'[1]Закупки иные на 2021-2022'!F117</f>
        <v>12381460</v>
      </c>
      <c r="E126" s="1">
        <v>12381460</v>
      </c>
      <c r="F126" s="2"/>
      <c r="H126" s="65"/>
      <c r="I126" s="65"/>
      <c r="J126" s="65"/>
    </row>
    <row r="127" spans="1:10" ht="18" x14ac:dyDescent="0.3">
      <c r="A127" s="48" t="s">
        <v>7</v>
      </c>
      <c r="B127" s="52" t="s">
        <v>5</v>
      </c>
      <c r="C127" s="52">
        <v>900</v>
      </c>
      <c r="D127" s="3">
        <f>E127+F127</f>
        <v>25489148.850000001</v>
      </c>
      <c r="E127" s="1">
        <f>E130+E158+E172+E200</f>
        <v>25489148.850000001</v>
      </c>
      <c r="F127" s="1">
        <f>F130+F158</f>
        <v>0</v>
      </c>
      <c r="H127" s="66"/>
      <c r="I127" s="66"/>
      <c r="J127" s="66"/>
    </row>
    <row r="128" spans="1:10" ht="18" x14ac:dyDescent="0.3">
      <c r="A128" s="48" t="s">
        <v>6</v>
      </c>
      <c r="B128" s="52"/>
      <c r="C128" s="52"/>
      <c r="D128" s="3"/>
      <c r="E128" s="1"/>
      <c r="F128" s="2"/>
    </row>
    <row r="129" spans="1:6" ht="17.399999999999999" x14ac:dyDescent="0.3">
      <c r="A129" s="397" t="s">
        <v>199</v>
      </c>
      <c r="B129" s="398"/>
      <c r="C129" s="398"/>
      <c r="D129" s="398"/>
      <c r="E129" s="398"/>
      <c r="F129" s="399"/>
    </row>
    <row r="130" spans="1:6" ht="18" x14ac:dyDescent="0.3">
      <c r="A130" s="48" t="s">
        <v>8</v>
      </c>
      <c r="B130" s="52" t="s">
        <v>5</v>
      </c>
      <c r="C130" s="52">
        <v>200</v>
      </c>
      <c r="D130" s="3">
        <f t="shared" ref="D130:D162" si="2">E130+F130</f>
        <v>0</v>
      </c>
      <c r="E130" s="1">
        <f>E132+E135+E154</f>
        <v>0</v>
      </c>
      <c r="F130" s="1">
        <f>F132+F135+F154</f>
        <v>0</v>
      </c>
    </row>
    <row r="131" spans="1:6" ht="18" x14ac:dyDescent="0.3">
      <c r="A131" s="48" t="s">
        <v>9</v>
      </c>
      <c r="B131" s="52"/>
      <c r="C131" s="52"/>
      <c r="D131" s="3"/>
      <c r="E131" s="1"/>
      <c r="F131" s="1"/>
    </row>
    <row r="132" spans="1:6" ht="72" x14ac:dyDescent="0.3">
      <c r="A132" s="48" t="s">
        <v>10</v>
      </c>
      <c r="B132" s="52" t="s">
        <v>5</v>
      </c>
      <c r="C132" s="52">
        <v>210</v>
      </c>
      <c r="D132" s="3">
        <f t="shared" si="2"/>
        <v>0</v>
      </c>
      <c r="E132" s="1">
        <f>E134</f>
        <v>0</v>
      </c>
      <c r="F132" s="1">
        <f>F134</f>
        <v>0</v>
      </c>
    </row>
    <row r="133" spans="1:6" ht="18" x14ac:dyDescent="0.3">
      <c r="A133" s="48" t="s">
        <v>9</v>
      </c>
      <c r="B133" s="52"/>
      <c r="C133" s="52"/>
      <c r="D133" s="3"/>
      <c r="E133" s="1"/>
      <c r="F133" s="1"/>
    </row>
    <row r="134" spans="1:6" ht="72" x14ac:dyDescent="0.3">
      <c r="A134" s="48" t="s">
        <v>200</v>
      </c>
      <c r="B134" s="52">
        <v>244</v>
      </c>
      <c r="C134" s="52">
        <v>214</v>
      </c>
      <c r="D134" s="3">
        <f>E134+F134</f>
        <v>0</v>
      </c>
      <c r="E134" s="1"/>
      <c r="F134" s="1"/>
    </row>
    <row r="135" spans="1:6" ht="36" x14ac:dyDescent="0.3">
      <c r="A135" s="48" t="s">
        <v>14</v>
      </c>
      <c r="B135" s="52" t="s">
        <v>5</v>
      </c>
      <c r="C135" s="52">
        <v>220</v>
      </c>
      <c r="D135" s="3">
        <f t="shared" si="2"/>
        <v>0</v>
      </c>
      <c r="E135" s="1">
        <f>E137+E138+E139+E146+E147+E150+E153</f>
        <v>0</v>
      </c>
      <c r="F135" s="1">
        <f>F137+F138+F139+F146+F147+F150+F153</f>
        <v>0</v>
      </c>
    </row>
    <row r="136" spans="1:6" ht="18" x14ac:dyDescent="0.3">
      <c r="A136" s="48" t="s">
        <v>9</v>
      </c>
      <c r="B136" s="52"/>
      <c r="C136" s="52"/>
      <c r="D136" s="3"/>
      <c r="E136" s="1"/>
      <c r="F136" s="1"/>
    </row>
    <row r="137" spans="1:6" ht="18" x14ac:dyDescent="0.3">
      <c r="A137" s="48" t="s">
        <v>15</v>
      </c>
      <c r="B137" s="52">
        <v>244</v>
      </c>
      <c r="C137" s="52">
        <v>221</v>
      </c>
      <c r="D137" s="3">
        <f t="shared" si="2"/>
        <v>0</v>
      </c>
      <c r="E137" s="1"/>
      <c r="F137" s="1"/>
    </row>
    <row r="138" spans="1:6" ht="36" x14ac:dyDescent="0.3">
      <c r="A138" s="48" t="s">
        <v>16</v>
      </c>
      <c r="B138" s="52">
        <v>244</v>
      </c>
      <c r="C138" s="52">
        <v>222</v>
      </c>
      <c r="D138" s="3">
        <f t="shared" si="2"/>
        <v>0</v>
      </c>
      <c r="E138" s="1"/>
      <c r="F138" s="1"/>
    </row>
    <row r="139" spans="1:6" ht="36" x14ac:dyDescent="0.3">
      <c r="A139" s="48" t="s">
        <v>17</v>
      </c>
      <c r="B139" s="52" t="s">
        <v>5</v>
      </c>
      <c r="C139" s="52">
        <v>223</v>
      </c>
      <c r="D139" s="3">
        <f t="shared" si="2"/>
        <v>0</v>
      </c>
      <c r="E139" s="1">
        <f>E141+E142+E143+E144+E145</f>
        <v>0</v>
      </c>
      <c r="F139" s="1">
        <f>F141+F142+F143+F144+F145</f>
        <v>0</v>
      </c>
    </row>
    <row r="140" spans="1:6" ht="18" x14ac:dyDescent="0.3">
      <c r="A140" s="48" t="s">
        <v>6</v>
      </c>
      <c r="B140" s="52"/>
      <c r="C140" s="52"/>
      <c r="D140" s="3"/>
      <c r="E140" s="1"/>
      <c r="F140" s="1"/>
    </row>
    <row r="141" spans="1:6" ht="54" x14ac:dyDescent="0.3">
      <c r="A141" s="48" t="s">
        <v>18</v>
      </c>
      <c r="B141" s="52">
        <v>244</v>
      </c>
      <c r="C141" s="52">
        <v>223</v>
      </c>
      <c r="D141" s="3">
        <f t="shared" si="2"/>
        <v>0</v>
      </c>
      <c r="E141" s="1"/>
      <c r="F141" s="1"/>
    </row>
    <row r="142" spans="1:6" ht="36" x14ac:dyDescent="0.3">
      <c r="A142" s="48" t="s">
        <v>19</v>
      </c>
      <c r="B142" s="52">
        <v>244</v>
      </c>
      <c r="C142" s="52">
        <v>223</v>
      </c>
      <c r="D142" s="3">
        <f t="shared" si="2"/>
        <v>0</v>
      </c>
      <c r="E142" s="1"/>
      <c r="F142" s="1"/>
    </row>
    <row r="143" spans="1:6" ht="54" x14ac:dyDescent="0.3">
      <c r="A143" s="48" t="s">
        <v>20</v>
      </c>
      <c r="B143" s="52">
        <v>244</v>
      </c>
      <c r="C143" s="52">
        <v>223</v>
      </c>
      <c r="D143" s="3">
        <f t="shared" si="2"/>
        <v>0</v>
      </c>
      <c r="E143" s="1"/>
      <c r="F143" s="1"/>
    </row>
    <row r="144" spans="1:6" ht="72" x14ac:dyDescent="0.3">
      <c r="A144" s="48" t="s">
        <v>21</v>
      </c>
      <c r="B144" s="52">
        <v>244</v>
      </c>
      <c r="C144" s="52">
        <v>223</v>
      </c>
      <c r="D144" s="3">
        <f t="shared" si="2"/>
        <v>0</v>
      </c>
      <c r="E144" s="1"/>
      <c r="F144" s="1"/>
    </row>
    <row r="145" spans="1:6" ht="54" x14ac:dyDescent="0.3">
      <c r="A145" s="48" t="s">
        <v>22</v>
      </c>
      <c r="B145" s="52">
        <v>244</v>
      </c>
      <c r="C145" s="52">
        <v>223</v>
      </c>
      <c r="D145" s="3">
        <f t="shared" si="2"/>
        <v>0</v>
      </c>
      <c r="E145" s="1"/>
      <c r="F145" s="1"/>
    </row>
    <row r="146" spans="1:6" ht="162" x14ac:dyDescent="0.3">
      <c r="A146" s="48" t="s">
        <v>23</v>
      </c>
      <c r="B146" s="52">
        <v>244</v>
      </c>
      <c r="C146" s="52">
        <v>224</v>
      </c>
      <c r="D146" s="3">
        <f t="shared" si="2"/>
        <v>0</v>
      </c>
      <c r="E146" s="1"/>
      <c r="F146" s="1"/>
    </row>
    <row r="147" spans="1:6" ht="54" x14ac:dyDescent="0.3">
      <c r="A147" s="48" t="s">
        <v>24</v>
      </c>
      <c r="B147" s="52" t="s">
        <v>5</v>
      </c>
      <c r="C147" s="52">
        <v>225</v>
      </c>
      <c r="D147" s="1">
        <f>D148+D149</f>
        <v>0</v>
      </c>
      <c r="E147" s="1">
        <f>E148+E149</f>
        <v>0</v>
      </c>
      <c r="F147" s="1">
        <f>F148+F149</f>
        <v>0</v>
      </c>
    </row>
    <row r="148" spans="1:6" ht="18" x14ac:dyDescent="0.3">
      <c r="A148" s="385" t="s">
        <v>6</v>
      </c>
      <c r="B148" s="52">
        <v>243</v>
      </c>
      <c r="C148" s="52">
        <v>225</v>
      </c>
      <c r="D148" s="3">
        <f t="shared" si="2"/>
        <v>0</v>
      </c>
      <c r="E148" s="1"/>
      <c r="F148" s="1"/>
    </row>
    <row r="149" spans="1:6" ht="18" x14ac:dyDescent="0.3">
      <c r="A149" s="385"/>
      <c r="B149" s="52">
        <v>244</v>
      </c>
      <c r="C149" s="52">
        <v>225</v>
      </c>
      <c r="D149" s="3">
        <f t="shared" si="2"/>
        <v>0</v>
      </c>
      <c r="E149" s="1"/>
      <c r="F149" s="1"/>
    </row>
    <row r="150" spans="1:6" ht="36" x14ac:dyDescent="0.3">
      <c r="A150" s="48" t="s">
        <v>58</v>
      </c>
      <c r="B150" s="52" t="s">
        <v>5</v>
      </c>
      <c r="C150" s="52">
        <v>226</v>
      </c>
      <c r="D150" s="3">
        <f t="shared" si="2"/>
        <v>0</v>
      </c>
      <c r="E150" s="1">
        <f>E151+E152</f>
        <v>0</v>
      </c>
      <c r="F150" s="1">
        <f>F151+F152</f>
        <v>0</v>
      </c>
    </row>
    <row r="151" spans="1:6" ht="18" x14ac:dyDescent="0.3">
      <c r="A151" s="385" t="s">
        <v>6</v>
      </c>
      <c r="B151" s="52">
        <v>243</v>
      </c>
      <c r="C151" s="52">
        <v>226</v>
      </c>
      <c r="D151" s="3">
        <f t="shared" si="2"/>
        <v>0</v>
      </c>
      <c r="E151" s="1"/>
      <c r="F151" s="1"/>
    </row>
    <row r="152" spans="1:6" ht="18" x14ac:dyDescent="0.3">
      <c r="A152" s="385"/>
      <c r="B152" s="52">
        <v>244</v>
      </c>
      <c r="C152" s="52">
        <v>226</v>
      </c>
      <c r="D152" s="3">
        <f t="shared" si="2"/>
        <v>0</v>
      </c>
      <c r="E152" s="1"/>
      <c r="F152" s="1"/>
    </row>
    <row r="153" spans="1:6" ht="18" x14ac:dyDescent="0.3">
      <c r="A153" s="48" t="s">
        <v>25</v>
      </c>
      <c r="B153" s="52">
        <v>244</v>
      </c>
      <c r="C153" s="52">
        <v>227</v>
      </c>
      <c r="D153" s="3">
        <f t="shared" si="2"/>
        <v>0</v>
      </c>
      <c r="E153" s="1"/>
      <c r="F153" s="1"/>
    </row>
    <row r="154" spans="1:6" ht="18" x14ac:dyDescent="0.3">
      <c r="A154" s="48" t="s">
        <v>30</v>
      </c>
      <c r="B154" s="52" t="s">
        <v>5</v>
      </c>
      <c r="C154" s="52">
        <v>290</v>
      </c>
      <c r="D154" s="3">
        <f t="shared" si="2"/>
        <v>0</v>
      </c>
      <c r="E154" s="1">
        <f>E156+E157</f>
        <v>0</v>
      </c>
      <c r="F154" s="1">
        <f>F156+F157</f>
        <v>0</v>
      </c>
    </row>
    <row r="155" spans="1:6" ht="18" x14ac:dyDescent="0.3">
      <c r="A155" s="48" t="s">
        <v>9</v>
      </c>
      <c r="B155" s="52"/>
      <c r="C155" s="52"/>
      <c r="D155" s="3">
        <f t="shared" si="2"/>
        <v>0</v>
      </c>
      <c r="E155" s="1"/>
      <c r="F155" s="1"/>
    </row>
    <row r="156" spans="1:6" ht="54" x14ac:dyDescent="0.3">
      <c r="A156" s="48" t="s">
        <v>34</v>
      </c>
      <c r="B156" s="52">
        <v>244</v>
      </c>
      <c r="C156" s="52">
        <v>296</v>
      </c>
      <c r="D156" s="3">
        <f t="shared" si="2"/>
        <v>0</v>
      </c>
      <c r="E156" s="1"/>
      <c r="F156" s="1"/>
    </row>
    <row r="157" spans="1:6" ht="54" x14ac:dyDescent="0.3">
      <c r="A157" s="48" t="s">
        <v>35</v>
      </c>
      <c r="B157" s="52">
        <v>244</v>
      </c>
      <c r="C157" s="52">
        <v>297</v>
      </c>
      <c r="D157" s="3">
        <f t="shared" si="2"/>
        <v>0</v>
      </c>
      <c r="E157" s="1"/>
      <c r="F157" s="1"/>
    </row>
    <row r="158" spans="1:6" ht="54" x14ac:dyDescent="0.3">
      <c r="A158" s="48" t="s">
        <v>59</v>
      </c>
      <c r="B158" s="52" t="s">
        <v>5</v>
      </c>
      <c r="C158" s="52">
        <v>300</v>
      </c>
      <c r="D158" s="3">
        <f t="shared" si="2"/>
        <v>0</v>
      </c>
      <c r="E158" s="1">
        <f>E160+E162+E161</f>
        <v>0</v>
      </c>
      <c r="F158" s="1">
        <f>F160+F162+F161</f>
        <v>0</v>
      </c>
    </row>
    <row r="159" spans="1:6" ht="18" x14ac:dyDescent="0.3">
      <c r="A159" s="48" t="s">
        <v>9</v>
      </c>
      <c r="B159" s="52"/>
      <c r="C159" s="52"/>
      <c r="D159" s="3"/>
      <c r="E159" s="1"/>
      <c r="F159" s="1"/>
    </row>
    <row r="160" spans="1:6" ht="54" x14ac:dyDescent="0.3">
      <c r="A160" s="48" t="s">
        <v>36</v>
      </c>
      <c r="B160" s="52">
        <v>244</v>
      </c>
      <c r="C160" s="52">
        <v>310</v>
      </c>
      <c r="D160" s="3">
        <f t="shared" si="2"/>
        <v>0</v>
      </c>
      <c r="E160" s="1"/>
      <c r="F160" s="1"/>
    </row>
    <row r="161" spans="1:6" ht="72" x14ac:dyDescent="0.3">
      <c r="A161" s="48" t="s">
        <v>68</v>
      </c>
      <c r="B161" s="52">
        <v>244</v>
      </c>
      <c r="C161" s="52">
        <v>320</v>
      </c>
      <c r="D161" s="3">
        <f t="shared" si="2"/>
        <v>0</v>
      </c>
      <c r="E161" s="1"/>
      <c r="F161" s="1"/>
    </row>
    <row r="162" spans="1:6" ht="72" x14ac:dyDescent="0.3">
      <c r="A162" s="48" t="s">
        <v>60</v>
      </c>
      <c r="B162" s="52" t="s">
        <v>5</v>
      </c>
      <c r="C162" s="52">
        <v>340</v>
      </c>
      <c r="D162" s="3">
        <f t="shared" si="2"/>
        <v>0</v>
      </c>
      <c r="E162" s="1">
        <f>E164+E165+E166+E167+E168+E169+E170</f>
        <v>0</v>
      </c>
      <c r="F162" s="1">
        <f>F164+F165+F166+F167+F168+F169+F170</f>
        <v>0</v>
      </c>
    </row>
    <row r="163" spans="1:6" ht="18" x14ac:dyDescent="0.3">
      <c r="A163" s="48" t="s">
        <v>6</v>
      </c>
      <c r="B163" s="52"/>
      <c r="C163" s="52"/>
      <c r="D163" s="3"/>
      <c r="E163" s="1"/>
      <c r="F163" s="1"/>
    </row>
    <row r="164" spans="1:6" ht="126" x14ac:dyDescent="0.3">
      <c r="A164" s="48" t="s">
        <v>37</v>
      </c>
      <c r="B164" s="52">
        <v>244</v>
      </c>
      <c r="C164" s="52">
        <v>341</v>
      </c>
      <c r="D164" s="3">
        <f t="shared" ref="D164:D170" si="3">E164+F164</f>
        <v>0</v>
      </c>
      <c r="E164" s="1"/>
      <c r="F164" s="1"/>
    </row>
    <row r="165" spans="1:6" ht="54" x14ac:dyDescent="0.3">
      <c r="A165" s="48" t="s">
        <v>38</v>
      </c>
      <c r="B165" s="52">
        <v>244</v>
      </c>
      <c r="C165" s="52">
        <v>342</v>
      </c>
      <c r="D165" s="3">
        <f t="shared" si="3"/>
        <v>0</v>
      </c>
      <c r="E165" s="1"/>
      <c r="F165" s="1"/>
    </row>
    <row r="166" spans="1:6" ht="72" x14ac:dyDescent="0.3">
      <c r="A166" s="48" t="s">
        <v>39</v>
      </c>
      <c r="B166" s="52">
        <v>244</v>
      </c>
      <c r="C166" s="52">
        <v>343</v>
      </c>
      <c r="D166" s="3">
        <f t="shared" si="3"/>
        <v>0</v>
      </c>
      <c r="E166" s="1"/>
      <c r="F166" s="1"/>
    </row>
    <row r="167" spans="1:6" ht="72" x14ac:dyDescent="0.3">
      <c r="A167" s="48" t="s">
        <v>40</v>
      </c>
      <c r="B167" s="52">
        <v>244</v>
      </c>
      <c r="C167" s="52">
        <v>344</v>
      </c>
      <c r="D167" s="3">
        <f t="shared" si="3"/>
        <v>0</v>
      </c>
      <c r="E167" s="1"/>
      <c r="F167" s="1"/>
    </row>
    <row r="168" spans="1:6" ht="54" x14ac:dyDescent="0.3">
      <c r="A168" s="48" t="s">
        <v>41</v>
      </c>
      <c r="B168" s="52">
        <v>244</v>
      </c>
      <c r="C168" s="52">
        <v>345</v>
      </c>
      <c r="D168" s="3">
        <f t="shared" si="3"/>
        <v>0</v>
      </c>
      <c r="E168" s="1"/>
      <c r="F168" s="1"/>
    </row>
    <row r="169" spans="1:6" ht="72" x14ac:dyDescent="0.3">
      <c r="A169" s="48" t="s">
        <v>42</v>
      </c>
      <c r="B169" s="52">
        <v>244</v>
      </c>
      <c r="C169" s="52">
        <v>346</v>
      </c>
      <c r="D169" s="3">
        <f t="shared" si="3"/>
        <v>0</v>
      </c>
      <c r="E169" s="1"/>
      <c r="F169" s="1"/>
    </row>
    <row r="170" spans="1:6" ht="108" x14ac:dyDescent="0.3">
      <c r="A170" s="48" t="s">
        <v>43</v>
      </c>
      <c r="B170" s="52">
        <v>244</v>
      </c>
      <c r="C170" s="52">
        <v>349</v>
      </c>
      <c r="D170" s="3">
        <f t="shared" si="3"/>
        <v>0</v>
      </c>
      <c r="E170" s="1"/>
      <c r="F170" s="1"/>
    </row>
    <row r="171" spans="1:6" ht="17.399999999999999" x14ac:dyDescent="0.3">
      <c r="A171" s="397" t="s">
        <v>201</v>
      </c>
      <c r="B171" s="398"/>
      <c r="C171" s="398"/>
      <c r="D171" s="398"/>
      <c r="E171" s="398"/>
      <c r="F171" s="399"/>
    </row>
    <row r="172" spans="1:6" ht="18" x14ac:dyDescent="0.3">
      <c r="A172" s="48" t="s">
        <v>8</v>
      </c>
      <c r="B172" s="52" t="s">
        <v>5</v>
      </c>
      <c r="C172" s="52">
        <v>200</v>
      </c>
      <c r="D172" s="3">
        <f>E172+F172</f>
        <v>13803375.270000001</v>
      </c>
      <c r="E172" s="1">
        <f>E174+E177+E196</f>
        <v>13803375.270000001</v>
      </c>
      <c r="F172" s="1">
        <f>F174+F177+F196</f>
        <v>0</v>
      </c>
    </row>
    <row r="173" spans="1:6" ht="18" x14ac:dyDescent="0.3">
      <c r="A173" s="48" t="s">
        <v>9</v>
      </c>
      <c r="B173" s="52"/>
      <c r="C173" s="52"/>
      <c r="D173" s="3"/>
      <c r="E173" s="1"/>
      <c r="F173" s="1"/>
    </row>
    <row r="174" spans="1:6" ht="72" x14ac:dyDescent="0.3">
      <c r="A174" s="48" t="s">
        <v>10</v>
      </c>
      <c r="B174" s="52" t="s">
        <v>5</v>
      </c>
      <c r="C174" s="52">
        <v>210</v>
      </c>
      <c r="D174" s="3">
        <f>E174+F174</f>
        <v>0</v>
      </c>
      <c r="E174" s="1">
        <f>E176</f>
        <v>0</v>
      </c>
      <c r="F174" s="1">
        <f>F176</f>
        <v>0</v>
      </c>
    </row>
    <row r="175" spans="1:6" ht="18" x14ac:dyDescent="0.3">
      <c r="A175" s="48" t="s">
        <v>9</v>
      </c>
      <c r="B175" s="52"/>
      <c r="C175" s="52"/>
      <c r="D175" s="3"/>
      <c r="E175" s="1"/>
      <c r="F175" s="1"/>
    </row>
    <row r="176" spans="1:6" ht="72" x14ac:dyDescent="0.3">
      <c r="A176" s="48" t="s">
        <v>200</v>
      </c>
      <c r="B176" s="52">
        <v>244</v>
      </c>
      <c r="C176" s="52">
        <v>214</v>
      </c>
      <c r="D176" s="3">
        <f>E176+F176</f>
        <v>0</v>
      </c>
      <c r="E176" s="64">
        <f>E36-E134</f>
        <v>0</v>
      </c>
      <c r="F176" s="1"/>
    </row>
    <row r="177" spans="1:6" ht="36" x14ac:dyDescent="0.3">
      <c r="A177" s="48" t="s">
        <v>14</v>
      </c>
      <c r="B177" s="52" t="s">
        <v>5</v>
      </c>
      <c r="C177" s="52">
        <v>220</v>
      </c>
      <c r="D177" s="3">
        <f>E177+F177</f>
        <v>13803375.270000001</v>
      </c>
      <c r="E177" s="1">
        <f>E179+E180+E181+E188+E189+E192+E195</f>
        <v>13803375.270000001</v>
      </c>
      <c r="F177" s="1">
        <f>F179+F180+F181+F188+F189+F192+F195</f>
        <v>0</v>
      </c>
    </row>
    <row r="178" spans="1:6" ht="18" x14ac:dyDescent="0.3">
      <c r="A178" s="48" t="s">
        <v>9</v>
      </c>
      <c r="B178" s="52"/>
      <c r="C178" s="52"/>
      <c r="D178" s="3"/>
      <c r="E178" s="1"/>
      <c r="F178" s="1"/>
    </row>
    <row r="179" spans="1:6" ht="18" x14ac:dyDescent="0.3">
      <c r="A179" s="48" t="s">
        <v>15</v>
      </c>
      <c r="B179" s="52">
        <v>244</v>
      </c>
      <c r="C179" s="52">
        <v>221</v>
      </c>
      <c r="D179" s="3">
        <f>E179+F179</f>
        <v>390000</v>
      </c>
      <c r="E179" s="1">
        <f>E39-E137</f>
        <v>390000</v>
      </c>
      <c r="F179" s="1"/>
    </row>
    <row r="180" spans="1:6" ht="36" x14ac:dyDescent="0.3">
      <c r="A180" s="48" t="s">
        <v>16</v>
      </c>
      <c r="B180" s="52">
        <v>244</v>
      </c>
      <c r="C180" s="52">
        <v>222</v>
      </c>
      <c r="D180" s="3">
        <f>E180+F180</f>
        <v>181347.08</v>
      </c>
      <c r="E180" s="64">
        <f>E42-E138</f>
        <v>181347.08</v>
      </c>
      <c r="F180" s="1"/>
    </row>
    <row r="181" spans="1:6" ht="36" x14ac:dyDescent="0.3">
      <c r="A181" s="48" t="s">
        <v>17</v>
      </c>
      <c r="B181" s="52" t="s">
        <v>5</v>
      </c>
      <c r="C181" s="52">
        <v>223</v>
      </c>
      <c r="D181" s="3">
        <f>E181+F181</f>
        <v>521159.2</v>
      </c>
      <c r="E181" s="1">
        <f>E183+E184+E185+E186+E187</f>
        <v>521159.2</v>
      </c>
      <c r="F181" s="1">
        <f>F183+F184+F185+F186+F187</f>
        <v>0</v>
      </c>
    </row>
    <row r="182" spans="1:6" ht="18" x14ac:dyDescent="0.3">
      <c r="A182" s="48" t="s">
        <v>6</v>
      </c>
      <c r="B182" s="52"/>
      <c r="C182" s="52"/>
      <c r="D182" s="3"/>
      <c r="E182" s="1"/>
      <c r="F182" s="1"/>
    </row>
    <row r="183" spans="1:6" ht="54" x14ac:dyDescent="0.3">
      <c r="A183" s="48" t="s">
        <v>18</v>
      </c>
      <c r="B183" s="52">
        <v>244</v>
      </c>
      <c r="C183" s="52">
        <v>223</v>
      </c>
      <c r="D183" s="3">
        <f t="shared" ref="D183:D188" si="4">E183+F183</f>
        <v>100000</v>
      </c>
      <c r="E183" s="1">
        <f t="shared" ref="E183:E188" si="5">E48-E141</f>
        <v>100000</v>
      </c>
      <c r="F183" s="1"/>
    </row>
    <row r="184" spans="1:6" ht="36" x14ac:dyDescent="0.3">
      <c r="A184" s="48" t="s">
        <v>19</v>
      </c>
      <c r="B184" s="52">
        <v>244</v>
      </c>
      <c r="C184" s="52">
        <v>223</v>
      </c>
      <c r="D184" s="3">
        <f t="shared" si="4"/>
        <v>0</v>
      </c>
      <c r="E184" s="1">
        <f t="shared" si="5"/>
        <v>0</v>
      </c>
      <c r="F184" s="1"/>
    </row>
    <row r="185" spans="1:6" ht="54" x14ac:dyDescent="0.3">
      <c r="A185" s="48" t="s">
        <v>20</v>
      </c>
      <c r="B185" s="52">
        <v>244</v>
      </c>
      <c r="C185" s="52">
        <v>223</v>
      </c>
      <c r="D185" s="3">
        <f t="shared" si="4"/>
        <v>150000</v>
      </c>
      <c r="E185" s="1">
        <f t="shared" si="5"/>
        <v>150000</v>
      </c>
      <c r="F185" s="1"/>
    </row>
    <row r="186" spans="1:6" ht="72" x14ac:dyDescent="0.3">
      <c r="A186" s="48" t="s">
        <v>21</v>
      </c>
      <c r="B186" s="52">
        <v>244</v>
      </c>
      <c r="C186" s="52">
        <v>223</v>
      </c>
      <c r="D186" s="3">
        <f t="shared" si="4"/>
        <v>150000</v>
      </c>
      <c r="E186" s="1">
        <f t="shared" si="5"/>
        <v>150000</v>
      </c>
      <c r="F186" s="1"/>
    </row>
    <row r="187" spans="1:6" ht="54" x14ac:dyDescent="0.3">
      <c r="A187" s="48" t="s">
        <v>22</v>
      </c>
      <c r="B187" s="52">
        <v>244</v>
      </c>
      <c r="C187" s="52">
        <v>223</v>
      </c>
      <c r="D187" s="3">
        <f t="shared" si="4"/>
        <v>121159.2</v>
      </c>
      <c r="E187" s="1">
        <f t="shared" si="5"/>
        <v>121159.2</v>
      </c>
      <c r="F187" s="1"/>
    </row>
    <row r="188" spans="1:6" ht="162" x14ac:dyDescent="0.3">
      <c r="A188" s="48" t="s">
        <v>23</v>
      </c>
      <c r="B188" s="52">
        <v>244</v>
      </c>
      <c r="C188" s="52">
        <v>224</v>
      </c>
      <c r="D188" s="3">
        <f t="shared" si="4"/>
        <v>0</v>
      </c>
      <c r="E188" s="1">
        <f t="shared" si="5"/>
        <v>0</v>
      </c>
      <c r="F188" s="1"/>
    </row>
    <row r="189" spans="1:6" ht="54" x14ac:dyDescent="0.3">
      <c r="A189" s="48" t="s">
        <v>24</v>
      </c>
      <c r="B189" s="52" t="s">
        <v>5</v>
      </c>
      <c r="C189" s="52">
        <v>225</v>
      </c>
      <c r="D189" s="1">
        <f>D190+D191</f>
        <v>4720000</v>
      </c>
      <c r="E189" s="1">
        <f>E190+E191</f>
        <v>4720000</v>
      </c>
      <c r="F189" s="1">
        <f>F190+F191</f>
        <v>0</v>
      </c>
    </row>
    <row r="190" spans="1:6" ht="18" x14ac:dyDescent="0.3">
      <c r="A190" s="385" t="s">
        <v>6</v>
      </c>
      <c r="B190" s="52">
        <v>243</v>
      </c>
      <c r="C190" s="52">
        <v>225</v>
      </c>
      <c r="D190" s="3">
        <f t="shared" ref="D190:D200" si="6">E190+F190</f>
        <v>0</v>
      </c>
      <c r="E190" s="1">
        <f>E55-E148</f>
        <v>0</v>
      </c>
      <c r="F190" s="1"/>
    </row>
    <row r="191" spans="1:6" ht="18" x14ac:dyDescent="0.3">
      <c r="A191" s="385"/>
      <c r="B191" s="52">
        <v>244</v>
      </c>
      <c r="C191" s="52">
        <v>225</v>
      </c>
      <c r="D191" s="3">
        <f t="shared" si="6"/>
        <v>4720000</v>
      </c>
      <c r="E191" s="1">
        <f>E56-E149</f>
        <v>4720000</v>
      </c>
      <c r="F191" s="1"/>
    </row>
    <row r="192" spans="1:6" ht="36" x14ac:dyDescent="0.3">
      <c r="A192" s="48" t="s">
        <v>58</v>
      </c>
      <c r="B192" s="52" t="s">
        <v>5</v>
      </c>
      <c r="C192" s="52">
        <v>226</v>
      </c>
      <c r="D192" s="3">
        <f t="shared" si="6"/>
        <v>7971057</v>
      </c>
      <c r="E192" s="1">
        <f>E193+E194</f>
        <v>7971057</v>
      </c>
      <c r="F192" s="1">
        <f>F193+F194</f>
        <v>0</v>
      </c>
    </row>
    <row r="193" spans="1:6" ht="18" x14ac:dyDescent="0.3">
      <c r="A193" s="385" t="s">
        <v>6</v>
      </c>
      <c r="B193" s="52">
        <v>243</v>
      </c>
      <c r="C193" s="52">
        <v>226</v>
      </c>
      <c r="D193" s="3">
        <f t="shared" si="6"/>
        <v>160000</v>
      </c>
      <c r="E193" s="1">
        <f>E61-E151</f>
        <v>160000</v>
      </c>
      <c r="F193" s="1"/>
    </row>
    <row r="194" spans="1:6" ht="18" x14ac:dyDescent="0.3">
      <c r="A194" s="385"/>
      <c r="B194" s="52">
        <v>244</v>
      </c>
      <c r="C194" s="52">
        <v>226</v>
      </c>
      <c r="D194" s="3">
        <f t="shared" si="6"/>
        <v>7811057</v>
      </c>
      <c r="E194" s="1">
        <f>E62-E152</f>
        <v>7811057</v>
      </c>
      <c r="F194" s="1"/>
    </row>
    <row r="195" spans="1:6" ht="18" x14ac:dyDescent="0.3">
      <c r="A195" s="48" t="s">
        <v>25</v>
      </c>
      <c r="B195" s="52">
        <v>244</v>
      </c>
      <c r="C195" s="52">
        <v>227</v>
      </c>
      <c r="D195" s="3">
        <f t="shared" si="6"/>
        <v>19811.989999999998</v>
      </c>
      <c r="E195" s="1">
        <f>E63-E153</f>
        <v>19811.989999999998</v>
      </c>
      <c r="F195" s="1"/>
    </row>
    <row r="196" spans="1:6" ht="18" x14ac:dyDescent="0.3">
      <c r="A196" s="48" t="s">
        <v>30</v>
      </c>
      <c r="B196" s="52" t="s">
        <v>5</v>
      </c>
      <c r="C196" s="52">
        <v>290</v>
      </c>
      <c r="D196" s="3">
        <f t="shared" si="6"/>
        <v>0</v>
      </c>
      <c r="E196" s="1">
        <f>E198+E199</f>
        <v>0</v>
      </c>
      <c r="F196" s="1">
        <f>F198+F199</f>
        <v>0</v>
      </c>
    </row>
    <row r="197" spans="1:6" ht="18" x14ac:dyDescent="0.3">
      <c r="A197" s="48" t="s">
        <v>9</v>
      </c>
      <c r="B197" s="52"/>
      <c r="C197" s="52"/>
      <c r="D197" s="3">
        <f t="shared" si="6"/>
        <v>0</v>
      </c>
      <c r="E197" s="1"/>
      <c r="F197" s="1"/>
    </row>
    <row r="198" spans="1:6" ht="54" x14ac:dyDescent="0.3">
      <c r="A198" s="48" t="s">
        <v>34</v>
      </c>
      <c r="B198" s="52">
        <v>244</v>
      </c>
      <c r="C198" s="52">
        <v>296</v>
      </c>
      <c r="D198" s="3">
        <f t="shared" si="6"/>
        <v>0</v>
      </c>
      <c r="E198" s="1">
        <f>E82-E156</f>
        <v>0</v>
      </c>
      <c r="F198" s="1"/>
    </row>
    <row r="199" spans="1:6" ht="54" x14ac:dyDescent="0.3">
      <c r="A199" s="48" t="s">
        <v>35</v>
      </c>
      <c r="B199" s="52">
        <v>244</v>
      </c>
      <c r="C199" s="52">
        <v>297</v>
      </c>
      <c r="D199" s="3">
        <f t="shared" si="6"/>
        <v>0</v>
      </c>
      <c r="E199" s="1">
        <f>E89-E157</f>
        <v>0</v>
      </c>
      <c r="F199" s="1"/>
    </row>
    <row r="200" spans="1:6" ht="54" x14ac:dyDescent="0.3">
      <c r="A200" s="48" t="s">
        <v>59</v>
      </c>
      <c r="B200" s="52" t="s">
        <v>5</v>
      </c>
      <c r="C200" s="52">
        <v>300</v>
      </c>
      <c r="D200" s="3">
        <f t="shared" si="6"/>
        <v>11685773.58</v>
      </c>
      <c r="E200" s="1">
        <f>E202+E204+E203</f>
        <v>11685773.58</v>
      </c>
      <c r="F200" s="1">
        <f>F202+F204+F203</f>
        <v>0</v>
      </c>
    </row>
    <row r="201" spans="1:6" ht="18" x14ac:dyDescent="0.3">
      <c r="A201" s="48" t="s">
        <v>9</v>
      </c>
      <c r="B201" s="52"/>
      <c r="C201" s="52"/>
      <c r="D201" s="3"/>
      <c r="E201" s="1"/>
      <c r="F201" s="1"/>
    </row>
    <row r="202" spans="1:6" ht="54" x14ac:dyDescent="0.3">
      <c r="A202" s="48" t="s">
        <v>36</v>
      </c>
      <c r="B202" s="52">
        <v>244</v>
      </c>
      <c r="C202" s="52">
        <v>310</v>
      </c>
      <c r="D202" s="3">
        <f>E202+F202</f>
        <v>5300000</v>
      </c>
      <c r="E202" s="1">
        <f>E95-E160</f>
        <v>5300000</v>
      </c>
      <c r="F202" s="1"/>
    </row>
    <row r="203" spans="1:6" ht="72" x14ac:dyDescent="0.3">
      <c r="A203" s="48" t="s">
        <v>68</v>
      </c>
      <c r="B203" s="52">
        <v>244</v>
      </c>
      <c r="C203" s="52">
        <v>320</v>
      </c>
      <c r="D203" s="3">
        <f>E203+F203</f>
        <v>0</v>
      </c>
      <c r="E203" s="1">
        <f>E96-E161</f>
        <v>0</v>
      </c>
      <c r="F203" s="1"/>
    </row>
    <row r="204" spans="1:6" ht="72" x14ac:dyDescent="0.3">
      <c r="A204" s="48" t="s">
        <v>60</v>
      </c>
      <c r="B204" s="52" t="s">
        <v>5</v>
      </c>
      <c r="C204" s="52">
        <v>340</v>
      </c>
      <c r="D204" s="3">
        <f>E204+F204</f>
        <v>6385773.5800000001</v>
      </c>
      <c r="E204" s="1">
        <f>E206+E207+E208+E209+E210+E211+E212</f>
        <v>6385773.5800000001</v>
      </c>
      <c r="F204" s="1">
        <f>F206+F207+F208+F209+F210+F211+F212</f>
        <v>0</v>
      </c>
    </row>
    <row r="205" spans="1:6" ht="18" x14ac:dyDescent="0.3">
      <c r="A205" s="48" t="s">
        <v>6</v>
      </c>
      <c r="B205" s="52"/>
      <c r="C205" s="52"/>
      <c r="D205" s="3"/>
      <c r="E205" s="1"/>
      <c r="F205" s="1"/>
    </row>
    <row r="206" spans="1:6" ht="126" x14ac:dyDescent="0.3">
      <c r="A206" s="48" t="s">
        <v>37</v>
      </c>
      <c r="B206" s="52">
        <v>244</v>
      </c>
      <c r="C206" s="52">
        <v>341</v>
      </c>
      <c r="D206" s="3">
        <f t="shared" ref="D206:D212" si="7">E206+F206</f>
        <v>0</v>
      </c>
      <c r="E206" s="1">
        <f t="shared" ref="E206:E211" si="8">E99-E164</f>
        <v>0</v>
      </c>
      <c r="F206" s="1"/>
    </row>
    <row r="207" spans="1:6" ht="54" x14ac:dyDescent="0.3">
      <c r="A207" s="48" t="s">
        <v>38</v>
      </c>
      <c r="B207" s="52">
        <v>244</v>
      </c>
      <c r="C207" s="52">
        <v>342</v>
      </c>
      <c r="D207" s="3">
        <f t="shared" si="7"/>
        <v>0</v>
      </c>
      <c r="E207" s="1">
        <f t="shared" si="8"/>
        <v>0</v>
      </c>
      <c r="F207" s="1"/>
    </row>
    <row r="208" spans="1:6" ht="72" x14ac:dyDescent="0.3">
      <c r="A208" s="48" t="s">
        <v>39</v>
      </c>
      <c r="B208" s="52">
        <v>244</v>
      </c>
      <c r="C208" s="52">
        <v>343</v>
      </c>
      <c r="D208" s="3">
        <f t="shared" si="7"/>
        <v>450000</v>
      </c>
      <c r="E208" s="1">
        <f t="shared" si="8"/>
        <v>450000</v>
      </c>
      <c r="F208" s="1"/>
    </row>
    <row r="209" spans="1:6" ht="72" x14ac:dyDescent="0.3">
      <c r="A209" s="48" t="s">
        <v>40</v>
      </c>
      <c r="B209" s="52">
        <v>244</v>
      </c>
      <c r="C209" s="52">
        <v>344</v>
      </c>
      <c r="D209" s="3">
        <f t="shared" si="7"/>
        <v>500000</v>
      </c>
      <c r="E209" s="1">
        <f t="shared" si="8"/>
        <v>500000</v>
      </c>
      <c r="F209" s="1"/>
    </row>
    <row r="210" spans="1:6" ht="54" x14ac:dyDescent="0.3">
      <c r="A210" s="48" t="s">
        <v>41</v>
      </c>
      <c r="B210" s="52">
        <v>244</v>
      </c>
      <c r="C210" s="52">
        <v>345</v>
      </c>
      <c r="D210" s="3">
        <f t="shared" si="7"/>
        <v>350000</v>
      </c>
      <c r="E210" s="1">
        <f t="shared" si="8"/>
        <v>350000</v>
      </c>
      <c r="F210" s="1"/>
    </row>
    <row r="211" spans="1:6" ht="72" x14ac:dyDescent="0.3">
      <c r="A211" s="48" t="s">
        <v>42</v>
      </c>
      <c r="B211" s="52">
        <v>244</v>
      </c>
      <c r="C211" s="52">
        <v>346</v>
      </c>
      <c r="D211" s="3">
        <f t="shared" si="7"/>
        <v>4645773.58</v>
      </c>
      <c r="E211" s="1">
        <f t="shared" si="8"/>
        <v>4645773.58</v>
      </c>
      <c r="F211" s="1"/>
    </row>
    <row r="212" spans="1:6" ht="108" x14ac:dyDescent="0.3">
      <c r="A212" s="48" t="s">
        <v>43</v>
      </c>
      <c r="B212" s="52">
        <v>244</v>
      </c>
      <c r="C212" s="52">
        <v>349</v>
      </c>
      <c r="D212" s="3">
        <f t="shared" si="7"/>
        <v>440000</v>
      </c>
      <c r="E212" s="1">
        <f t="shared" ref="E212" si="9">E106-E170</f>
        <v>440000</v>
      </c>
      <c r="F212" s="1"/>
    </row>
  </sheetData>
  <mergeCells count="31">
    <mergeCell ref="A190:A191"/>
    <mergeCell ref="A193:A194"/>
    <mergeCell ref="A125:F125"/>
    <mergeCell ref="A129:F129"/>
    <mergeCell ref="A148:A149"/>
    <mergeCell ref="A151:A152"/>
    <mergeCell ref="A171:F171"/>
    <mergeCell ref="E120:F120"/>
    <mergeCell ref="E121:F121"/>
    <mergeCell ref="A123:B123"/>
    <mergeCell ref="A35:A36"/>
    <mergeCell ref="A41:A42"/>
    <mergeCell ref="A55:A56"/>
    <mergeCell ref="A58:A62"/>
    <mergeCell ref="E118:F118"/>
    <mergeCell ref="A75:A77"/>
    <mergeCell ref="A82:A87"/>
    <mergeCell ref="A89:A92"/>
    <mergeCell ref="E114:F114"/>
    <mergeCell ref="E117:F117"/>
    <mergeCell ref="E115:F115"/>
    <mergeCell ref="A114:B114"/>
    <mergeCell ref="A117:B117"/>
    <mergeCell ref="A68:A70"/>
    <mergeCell ref="A1:F1"/>
    <mergeCell ref="A2:F2"/>
    <mergeCell ref="A5:A6"/>
    <mergeCell ref="B5:B6"/>
    <mergeCell ref="C5:C6"/>
    <mergeCell ref="D5:D6"/>
    <mergeCell ref="E5:F5"/>
  </mergeCells>
  <pageMargins left="1.3779527559055118" right="0.39370078740157483" top="0.78740157480314965" bottom="0.78740157480314965" header="0.31496062992125984" footer="0.31496062992125984"/>
  <pageSetup paperSize="9" scale="7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7"/>
  <sheetViews>
    <sheetView showWhiteSpace="0" view="pageLayout" zoomScaleNormal="100" workbookViewId="0">
      <selection activeCell="E10" sqref="E10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5" width="18.5546875" style="5" customWidth="1"/>
    <col min="6" max="6" width="17.44140625" style="5" customWidth="1"/>
    <col min="7" max="16384" width="8.88671875" style="5"/>
  </cols>
  <sheetData>
    <row r="1" spans="1:6" ht="17.399999999999999" x14ac:dyDescent="0.3">
      <c r="A1" s="384" t="s">
        <v>256</v>
      </c>
      <c r="B1" s="384"/>
      <c r="C1" s="384"/>
      <c r="D1" s="384"/>
      <c r="E1" s="384"/>
      <c r="F1" s="384"/>
    </row>
    <row r="2" spans="1:6" ht="17.399999999999999" x14ac:dyDescent="0.3">
      <c r="A2" s="384" t="s">
        <v>471</v>
      </c>
      <c r="B2" s="384"/>
      <c r="C2" s="384"/>
      <c r="D2" s="384"/>
      <c r="E2" s="384"/>
      <c r="F2" s="384"/>
    </row>
    <row r="3" spans="1:6" ht="15" x14ac:dyDescent="0.3">
      <c r="A3" s="28"/>
    </row>
    <row r="4" spans="1:6" ht="18" x14ac:dyDescent="0.3">
      <c r="A4" s="4"/>
      <c r="F4" s="4" t="s">
        <v>51</v>
      </c>
    </row>
    <row r="5" spans="1:6" ht="52.95" customHeight="1" x14ac:dyDescent="0.3">
      <c r="A5" s="405" t="s">
        <v>0</v>
      </c>
      <c r="B5" s="404" t="s">
        <v>45</v>
      </c>
      <c r="C5" s="406" t="s">
        <v>46</v>
      </c>
      <c r="D5" s="404" t="s">
        <v>1</v>
      </c>
      <c r="E5" s="404" t="s">
        <v>196</v>
      </c>
      <c r="F5" s="404"/>
    </row>
    <row r="6" spans="1:6" ht="15.6" x14ac:dyDescent="0.3">
      <c r="A6" s="405"/>
      <c r="B6" s="404"/>
      <c r="C6" s="406"/>
      <c r="D6" s="404"/>
      <c r="E6" s="404" t="s">
        <v>6</v>
      </c>
      <c r="F6" s="404"/>
    </row>
    <row r="7" spans="1:6" ht="218.4" x14ac:dyDescent="0.3">
      <c r="A7" s="405"/>
      <c r="B7" s="404"/>
      <c r="C7" s="406"/>
      <c r="D7" s="404"/>
      <c r="E7" s="229" t="s">
        <v>198</v>
      </c>
      <c r="F7" s="366" t="s">
        <v>197</v>
      </c>
    </row>
    <row r="8" spans="1:6" x14ac:dyDescent="0.3">
      <c r="A8" s="184">
        <v>1</v>
      </c>
      <c r="B8" s="184">
        <v>2</v>
      </c>
      <c r="C8" s="184">
        <v>3</v>
      </c>
      <c r="D8" s="184">
        <v>4</v>
      </c>
      <c r="E8" s="184">
        <v>5</v>
      </c>
      <c r="F8" s="184">
        <v>6</v>
      </c>
    </row>
    <row r="9" spans="1:6" ht="36" x14ac:dyDescent="0.3">
      <c r="A9" s="230" t="s">
        <v>235</v>
      </c>
      <c r="B9" s="231" t="s">
        <v>5</v>
      </c>
      <c r="C9" s="231" t="s">
        <v>5</v>
      </c>
      <c r="D9" s="3">
        <f>E9+F9</f>
        <v>25489148.850000001</v>
      </c>
      <c r="E9" s="1">
        <v>25374935.920000002</v>
      </c>
      <c r="F9" s="1">
        <v>114212.93</v>
      </c>
    </row>
    <row r="10" spans="1:6" ht="22.5" customHeight="1" x14ac:dyDescent="0.3">
      <c r="A10" s="230" t="s">
        <v>7</v>
      </c>
      <c r="B10" s="231" t="s">
        <v>5</v>
      </c>
      <c r="C10" s="231">
        <v>900</v>
      </c>
      <c r="D10" s="3">
        <f>E10+F10</f>
        <v>25489148.850000001</v>
      </c>
      <c r="E10" s="1">
        <f>E13+E45+E60+E92</f>
        <v>25374935.920000002</v>
      </c>
      <c r="F10" s="1">
        <f>F13+F45+F60+F92</f>
        <v>114212.93</v>
      </c>
    </row>
    <row r="11" spans="1:6" ht="22.5" customHeight="1" x14ac:dyDescent="0.3">
      <c r="A11" s="230" t="s">
        <v>6</v>
      </c>
      <c r="B11" s="231"/>
      <c r="C11" s="231"/>
      <c r="D11" s="3"/>
      <c r="E11" s="1"/>
      <c r="F11" s="1"/>
    </row>
    <row r="12" spans="1:6" ht="33.6" customHeight="1" x14ac:dyDescent="0.3">
      <c r="A12" s="403" t="s">
        <v>199</v>
      </c>
      <c r="B12" s="403"/>
      <c r="C12" s="403"/>
      <c r="D12" s="403"/>
      <c r="E12" s="403"/>
      <c r="F12" s="403"/>
    </row>
    <row r="13" spans="1:6" ht="26.25" customHeight="1" x14ac:dyDescent="0.3">
      <c r="A13" s="230" t="s">
        <v>8</v>
      </c>
      <c r="B13" s="231" t="s">
        <v>5</v>
      </c>
      <c r="C13" s="231">
        <v>200</v>
      </c>
      <c r="D13" s="3">
        <f t="shared" ref="D13:D49" si="0">E13+F13</f>
        <v>0</v>
      </c>
      <c r="E13" s="1">
        <f>E15+E18+E41</f>
        <v>0</v>
      </c>
      <c r="F13" s="1">
        <f>F15+F18+F41</f>
        <v>0</v>
      </c>
    </row>
    <row r="14" spans="1:6" ht="22.5" customHeight="1" x14ac:dyDescent="0.3">
      <c r="A14" s="230" t="s">
        <v>9</v>
      </c>
      <c r="B14" s="231"/>
      <c r="C14" s="231"/>
      <c r="D14" s="3"/>
      <c r="E14" s="1"/>
      <c r="F14" s="1"/>
    </row>
    <row r="15" spans="1:6" ht="72" x14ac:dyDescent="0.3">
      <c r="A15" s="230" t="s">
        <v>10</v>
      </c>
      <c r="B15" s="231" t="s">
        <v>5</v>
      </c>
      <c r="C15" s="231">
        <v>210</v>
      </c>
      <c r="D15" s="3">
        <f t="shared" si="0"/>
        <v>0</v>
      </c>
      <c r="E15" s="1">
        <f>E17</f>
        <v>0</v>
      </c>
      <c r="F15" s="1">
        <f>F17</f>
        <v>0</v>
      </c>
    </row>
    <row r="16" spans="1:6" ht="22.5" customHeight="1" x14ac:dyDescent="0.3">
      <c r="A16" s="230" t="s">
        <v>9</v>
      </c>
      <c r="B16" s="231"/>
      <c r="C16" s="231"/>
      <c r="D16" s="3"/>
      <c r="E16" s="1"/>
      <c r="F16" s="1"/>
    </row>
    <row r="17" spans="1:6" ht="72" x14ac:dyDescent="0.3">
      <c r="A17" s="230" t="s">
        <v>200</v>
      </c>
      <c r="B17" s="231">
        <v>244</v>
      </c>
      <c r="C17" s="231">
        <v>214</v>
      </c>
      <c r="D17" s="3">
        <f>E17+F17</f>
        <v>0</v>
      </c>
      <c r="E17" s="1">
        <f>'платные на 2022 год '!E134</f>
        <v>0</v>
      </c>
      <c r="F17" s="1"/>
    </row>
    <row r="18" spans="1:6" ht="36" x14ac:dyDescent="0.3">
      <c r="A18" s="230" t="s">
        <v>14</v>
      </c>
      <c r="B18" s="231" t="s">
        <v>5</v>
      </c>
      <c r="C18" s="231">
        <v>220</v>
      </c>
      <c r="D18" s="3">
        <f t="shared" si="0"/>
        <v>0</v>
      </c>
      <c r="E18" s="1">
        <f>E20+E21+E22+E32+E33+E36+E39</f>
        <v>0</v>
      </c>
      <c r="F18" s="1">
        <f>F20+F21+F22+F32+F33+F36+F39</f>
        <v>0</v>
      </c>
    </row>
    <row r="19" spans="1:6" ht="24.75" customHeight="1" x14ac:dyDescent="0.3">
      <c r="A19" s="230" t="s">
        <v>9</v>
      </c>
      <c r="B19" s="231"/>
      <c r="C19" s="231"/>
      <c r="D19" s="3"/>
      <c r="E19" s="1"/>
      <c r="F19" s="1"/>
    </row>
    <row r="20" spans="1:6" ht="24.75" customHeight="1" x14ac:dyDescent="0.3">
      <c r="A20" s="230" t="s">
        <v>15</v>
      </c>
      <c r="B20" s="231">
        <v>244</v>
      </c>
      <c r="C20" s="231">
        <v>221</v>
      </c>
      <c r="D20" s="3">
        <f t="shared" si="0"/>
        <v>0</v>
      </c>
      <c r="E20" s="1">
        <f>'платные на 2022 год '!E137</f>
        <v>0</v>
      </c>
      <c r="F20" s="1"/>
    </row>
    <row r="21" spans="1:6" ht="36" x14ac:dyDescent="0.3">
      <c r="A21" s="230" t="s">
        <v>16</v>
      </c>
      <c r="B21" s="231">
        <v>244</v>
      </c>
      <c r="C21" s="231">
        <v>222</v>
      </c>
      <c r="D21" s="3">
        <f t="shared" si="0"/>
        <v>0</v>
      </c>
      <c r="E21" s="1">
        <f>'платные на 2022 год '!E138</f>
        <v>0</v>
      </c>
      <c r="F21" s="1"/>
    </row>
    <row r="22" spans="1:6" ht="36" x14ac:dyDescent="0.3">
      <c r="A22" s="230" t="s">
        <v>17</v>
      </c>
      <c r="B22" s="231" t="s">
        <v>5</v>
      </c>
      <c r="C22" s="231">
        <v>223</v>
      </c>
      <c r="D22" s="3">
        <f t="shared" si="0"/>
        <v>0</v>
      </c>
      <c r="E22" s="1">
        <f>E27+E28+E29+E30+E31</f>
        <v>0</v>
      </c>
      <c r="F22" s="1">
        <f>F27+F28+F29+F30+F31</f>
        <v>0</v>
      </c>
    </row>
    <row r="23" spans="1:6" ht="27" customHeight="1" x14ac:dyDescent="0.3">
      <c r="A23" s="230" t="s">
        <v>6</v>
      </c>
      <c r="B23" s="231"/>
      <c r="C23" s="231"/>
      <c r="D23" s="3"/>
      <c r="E23" s="1"/>
      <c r="F23" s="1"/>
    </row>
    <row r="24" spans="1:6" ht="56.25" customHeight="1" x14ac:dyDescent="0.3">
      <c r="A24" s="325" t="s">
        <v>18</v>
      </c>
      <c r="B24" s="326">
        <v>244</v>
      </c>
      <c r="C24" s="326">
        <v>223</v>
      </c>
      <c r="D24" s="263"/>
      <c r="E24" s="264"/>
      <c r="F24" s="264"/>
    </row>
    <row r="25" spans="1:6" ht="36" customHeight="1" x14ac:dyDescent="0.3">
      <c r="A25" s="319" t="s">
        <v>19</v>
      </c>
      <c r="B25" s="320">
        <v>244</v>
      </c>
      <c r="C25" s="320">
        <v>223</v>
      </c>
      <c r="D25" s="3"/>
      <c r="E25" s="1"/>
      <c r="F25" s="1"/>
    </row>
    <row r="26" spans="1:6" ht="55.5" customHeight="1" x14ac:dyDescent="0.3">
      <c r="A26" s="316" t="s">
        <v>20</v>
      </c>
      <c r="B26" s="317">
        <v>244</v>
      </c>
      <c r="C26" s="317">
        <v>223</v>
      </c>
      <c r="D26" s="38"/>
      <c r="E26" s="327"/>
      <c r="F26" s="327"/>
    </row>
    <row r="27" spans="1:6" ht="54" x14ac:dyDescent="0.3">
      <c r="A27" s="230" t="s">
        <v>18</v>
      </c>
      <c r="B27" s="231">
        <v>247</v>
      </c>
      <c r="C27" s="231">
        <v>223</v>
      </c>
      <c r="D27" s="3">
        <f t="shared" si="0"/>
        <v>0</v>
      </c>
      <c r="E27" s="1">
        <f>'платные на 2022 год '!E141</f>
        <v>0</v>
      </c>
      <c r="F27" s="1"/>
    </row>
    <row r="28" spans="1:6" ht="36" x14ac:dyDescent="0.3">
      <c r="A28" s="230" t="s">
        <v>19</v>
      </c>
      <c r="B28" s="231">
        <v>247</v>
      </c>
      <c r="C28" s="231">
        <v>223</v>
      </c>
      <c r="D28" s="3">
        <f t="shared" si="0"/>
        <v>0</v>
      </c>
      <c r="E28" s="1">
        <f>'платные на 2022 год '!E142</f>
        <v>0</v>
      </c>
      <c r="F28" s="1"/>
    </row>
    <row r="29" spans="1:6" ht="56.25" customHeight="1" x14ac:dyDescent="0.3">
      <c r="A29" s="230" t="s">
        <v>20</v>
      </c>
      <c r="B29" s="231">
        <v>247</v>
      </c>
      <c r="C29" s="231">
        <v>223</v>
      </c>
      <c r="D29" s="3">
        <f t="shared" si="0"/>
        <v>0</v>
      </c>
      <c r="E29" s="1">
        <f>'платные на 2022 год '!E143</f>
        <v>0</v>
      </c>
      <c r="F29" s="1"/>
    </row>
    <row r="30" spans="1:6" ht="72" x14ac:dyDescent="0.3">
      <c r="A30" s="230" t="s">
        <v>21</v>
      </c>
      <c r="B30" s="231">
        <v>244</v>
      </c>
      <c r="C30" s="231">
        <v>223</v>
      </c>
      <c r="D30" s="3">
        <f t="shared" si="0"/>
        <v>0</v>
      </c>
      <c r="E30" s="1">
        <f>'платные на 2022 год '!E144</f>
        <v>0</v>
      </c>
      <c r="F30" s="1"/>
    </row>
    <row r="31" spans="1:6" ht="54" x14ac:dyDescent="0.3">
      <c r="A31" s="230" t="s">
        <v>22</v>
      </c>
      <c r="B31" s="231">
        <v>244</v>
      </c>
      <c r="C31" s="231">
        <v>223</v>
      </c>
      <c r="D31" s="3">
        <f t="shared" si="0"/>
        <v>0</v>
      </c>
      <c r="E31" s="1">
        <f>'платные на 2022 год '!E145</f>
        <v>0</v>
      </c>
      <c r="F31" s="1"/>
    </row>
    <row r="32" spans="1:6" ht="162" x14ac:dyDescent="0.3">
      <c r="A32" s="230" t="s">
        <v>23</v>
      </c>
      <c r="B32" s="231">
        <v>244</v>
      </c>
      <c r="C32" s="231">
        <v>224</v>
      </c>
      <c r="D32" s="3">
        <f t="shared" si="0"/>
        <v>0</v>
      </c>
      <c r="E32" s="1">
        <f>'платные на 2022 год '!E146</f>
        <v>0</v>
      </c>
      <c r="F32" s="1"/>
    </row>
    <row r="33" spans="1:6" ht="54" x14ac:dyDescent="0.3">
      <c r="A33" s="230" t="s">
        <v>24</v>
      </c>
      <c r="B33" s="231" t="s">
        <v>5</v>
      </c>
      <c r="C33" s="231">
        <v>225</v>
      </c>
      <c r="D33" s="1">
        <f>D34+D35</f>
        <v>0</v>
      </c>
      <c r="E33" s="1">
        <f>E34+E35</f>
        <v>0</v>
      </c>
      <c r="F33" s="1">
        <f>F34+F35</f>
        <v>0</v>
      </c>
    </row>
    <row r="34" spans="1:6" ht="23.25" customHeight="1" x14ac:dyDescent="0.3">
      <c r="A34" s="407" t="s">
        <v>6</v>
      </c>
      <c r="B34" s="231">
        <v>243</v>
      </c>
      <c r="C34" s="231">
        <v>225</v>
      </c>
      <c r="D34" s="3">
        <f t="shared" si="0"/>
        <v>0</v>
      </c>
      <c r="E34" s="1">
        <f>'платные на 2022 год '!E148</f>
        <v>0</v>
      </c>
      <c r="F34" s="1"/>
    </row>
    <row r="35" spans="1:6" ht="23.25" customHeight="1" x14ac:dyDescent="0.3">
      <c r="A35" s="407"/>
      <c r="B35" s="231">
        <v>244</v>
      </c>
      <c r="C35" s="231">
        <v>225</v>
      </c>
      <c r="D35" s="3">
        <f t="shared" si="0"/>
        <v>0</v>
      </c>
      <c r="E35" s="1">
        <f>'платные на 2022 год '!E149</f>
        <v>0</v>
      </c>
      <c r="F35" s="1"/>
    </row>
    <row r="36" spans="1:6" ht="36" x14ac:dyDescent="0.3">
      <c r="A36" s="230" t="s">
        <v>58</v>
      </c>
      <c r="B36" s="231" t="s">
        <v>5</v>
      </c>
      <c r="C36" s="231">
        <v>226</v>
      </c>
      <c r="D36" s="3">
        <f t="shared" si="0"/>
        <v>0</v>
      </c>
      <c r="E36" s="1">
        <f>E37+E38</f>
        <v>0</v>
      </c>
      <c r="F36" s="1">
        <f>F37+F38</f>
        <v>0</v>
      </c>
    </row>
    <row r="37" spans="1:6" ht="22.5" customHeight="1" x14ac:dyDescent="0.3">
      <c r="A37" s="407" t="s">
        <v>6</v>
      </c>
      <c r="B37" s="231">
        <v>243</v>
      </c>
      <c r="C37" s="231">
        <v>226</v>
      </c>
      <c r="D37" s="3">
        <f t="shared" si="0"/>
        <v>0</v>
      </c>
      <c r="E37" s="1">
        <f>'платные на 2022 год '!E151</f>
        <v>0</v>
      </c>
      <c r="F37" s="1"/>
    </row>
    <row r="38" spans="1:6" ht="22.5" customHeight="1" x14ac:dyDescent="0.3">
      <c r="A38" s="407"/>
      <c r="B38" s="231">
        <v>244</v>
      </c>
      <c r="C38" s="231">
        <v>226</v>
      </c>
      <c r="D38" s="3">
        <f t="shared" si="0"/>
        <v>0</v>
      </c>
      <c r="E38" s="1">
        <f>'платные на 2022 год '!E152</f>
        <v>0</v>
      </c>
      <c r="F38" s="1"/>
    </row>
    <row r="39" spans="1:6" ht="22.5" customHeight="1" x14ac:dyDescent="0.3">
      <c r="A39" s="230" t="s">
        <v>25</v>
      </c>
      <c r="B39" s="231">
        <v>244</v>
      </c>
      <c r="C39" s="231">
        <v>227</v>
      </c>
      <c r="D39" s="3">
        <f t="shared" si="0"/>
        <v>0</v>
      </c>
      <c r="E39" s="1">
        <f>'платные на 2022 год '!E153</f>
        <v>0</v>
      </c>
      <c r="F39" s="1"/>
    </row>
    <row r="40" spans="1:6" ht="55.95" customHeight="1" x14ac:dyDescent="0.3">
      <c r="A40" s="261" t="s">
        <v>445</v>
      </c>
      <c r="B40" s="262">
        <v>244</v>
      </c>
      <c r="C40" s="262">
        <v>228</v>
      </c>
      <c r="D40" s="3"/>
      <c r="E40" s="1"/>
      <c r="F40" s="1"/>
    </row>
    <row r="41" spans="1:6" ht="22.5" customHeight="1" x14ac:dyDescent="0.3">
      <c r="A41" s="230" t="s">
        <v>30</v>
      </c>
      <c r="B41" s="231" t="s">
        <v>5</v>
      </c>
      <c r="C41" s="231">
        <v>290</v>
      </c>
      <c r="D41" s="3">
        <f t="shared" si="0"/>
        <v>0</v>
      </c>
      <c r="E41" s="1">
        <f>E43+E44</f>
        <v>0</v>
      </c>
      <c r="F41" s="1">
        <f>F43+F44</f>
        <v>0</v>
      </c>
    </row>
    <row r="42" spans="1:6" ht="22.5" customHeight="1" x14ac:dyDescent="0.3">
      <c r="A42" s="230" t="s">
        <v>9</v>
      </c>
      <c r="B42" s="231"/>
      <c r="C42" s="231"/>
      <c r="D42" s="3">
        <f t="shared" si="0"/>
        <v>0</v>
      </c>
      <c r="E42" s="1"/>
      <c r="F42" s="1"/>
    </row>
    <row r="43" spans="1:6" ht="54" x14ac:dyDescent="0.3">
      <c r="A43" s="230" t="s">
        <v>34</v>
      </c>
      <c r="B43" s="231">
        <v>244</v>
      </c>
      <c r="C43" s="231">
        <v>296</v>
      </c>
      <c r="D43" s="3">
        <f t="shared" si="0"/>
        <v>0</v>
      </c>
      <c r="E43" s="1">
        <f>'платные на 2022 год '!E156</f>
        <v>0</v>
      </c>
      <c r="F43" s="1"/>
    </row>
    <row r="44" spans="1:6" ht="54" x14ac:dyDescent="0.3">
      <c r="A44" s="230" t="s">
        <v>35</v>
      </c>
      <c r="B44" s="231">
        <v>244</v>
      </c>
      <c r="C44" s="231">
        <v>297</v>
      </c>
      <c r="D44" s="3">
        <f t="shared" si="0"/>
        <v>0</v>
      </c>
      <c r="E44" s="1">
        <f>'платные на 2022 год '!E157</f>
        <v>0</v>
      </c>
      <c r="F44" s="1"/>
    </row>
    <row r="45" spans="1:6" ht="54" x14ac:dyDescent="0.3">
      <c r="A45" s="230" t="s">
        <v>59</v>
      </c>
      <c r="B45" s="231" t="s">
        <v>5</v>
      </c>
      <c r="C45" s="231">
        <v>300</v>
      </c>
      <c r="D45" s="3">
        <f t="shared" si="0"/>
        <v>0</v>
      </c>
      <c r="E45" s="1">
        <f>E47+E49+E48</f>
        <v>0</v>
      </c>
      <c r="F45" s="1">
        <f>F47+F49+F48</f>
        <v>0</v>
      </c>
    </row>
    <row r="46" spans="1:6" ht="27.75" customHeight="1" x14ac:dyDescent="0.3">
      <c r="A46" s="230" t="s">
        <v>9</v>
      </c>
      <c r="B46" s="231"/>
      <c r="C46" s="231"/>
      <c r="D46" s="3"/>
      <c r="E46" s="1"/>
      <c r="F46" s="1"/>
    </row>
    <row r="47" spans="1:6" ht="56.25" customHeight="1" x14ac:dyDescent="0.3">
      <c r="A47" s="230" t="s">
        <v>36</v>
      </c>
      <c r="B47" s="231">
        <v>244</v>
      </c>
      <c r="C47" s="231">
        <v>310</v>
      </c>
      <c r="D47" s="3">
        <f t="shared" si="0"/>
        <v>0</v>
      </c>
      <c r="E47" s="1">
        <f>'платные на 2022 год '!E160</f>
        <v>0</v>
      </c>
      <c r="F47" s="1"/>
    </row>
    <row r="48" spans="1:6" ht="72" x14ac:dyDescent="0.3">
      <c r="A48" s="230" t="s">
        <v>68</v>
      </c>
      <c r="B48" s="231">
        <v>244</v>
      </c>
      <c r="C48" s="231">
        <v>320</v>
      </c>
      <c r="D48" s="3">
        <f t="shared" si="0"/>
        <v>0</v>
      </c>
      <c r="E48" s="1">
        <f>'платные на 2022 год '!E161</f>
        <v>0</v>
      </c>
      <c r="F48" s="1"/>
    </row>
    <row r="49" spans="1:6" ht="72" x14ac:dyDescent="0.3">
      <c r="A49" s="230" t="s">
        <v>60</v>
      </c>
      <c r="B49" s="231" t="s">
        <v>5</v>
      </c>
      <c r="C49" s="231">
        <v>340</v>
      </c>
      <c r="D49" s="3">
        <f t="shared" si="0"/>
        <v>0</v>
      </c>
      <c r="E49" s="1">
        <f>E51+E52+E53+E54+E55+E56+E58</f>
        <v>0</v>
      </c>
      <c r="F49" s="1">
        <f>F51+F52+F53+F54+F55+F56+F58</f>
        <v>0</v>
      </c>
    </row>
    <row r="50" spans="1:6" ht="18" x14ac:dyDescent="0.3">
      <c r="A50" s="230" t="s">
        <v>6</v>
      </c>
      <c r="B50" s="231"/>
      <c r="C50" s="231"/>
      <c r="D50" s="3"/>
      <c r="E50" s="1"/>
      <c r="F50" s="1"/>
    </row>
    <row r="51" spans="1:6" ht="126" x14ac:dyDescent="0.3">
      <c r="A51" s="230" t="s">
        <v>37</v>
      </c>
      <c r="B51" s="231">
        <v>244</v>
      </c>
      <c r="C51" s="231">
        <v>341</v>
      </c>
      <c r="D51" s="3">
        <f t="shared" ref="D51:D58" si="1">E51+F51</f>
        <v>0</v>
      </c>
      <c r="E51" s="1">
        <f>'платные на 2022 год '!E164</f>
        <v>0</v>
      </c>
      <c r="F51" s="1"/>
    </row>
    <row r="52" spans="1:6" ht="54" x14ac:dyDescent="0.3">
      <c r="A52" s="230" t="s">
        <v>38</v>
      </c>
      <c r="B52" s="231">
        <v>244</v>
      </c>
      <c r="C52" s="231">
        <v>342</v>
      </c>
      <c r="D52" s="3">
        <f t="shared" si="1"/>
        <v>0</v>
      </c>
      <c r="E52" s="1">
        <f>'платные на 2022 год '!E165</f>
        <v>0</v>
      </c>
      <c r="F52" s="1"/>
    </row>
    <row r="53" spans="1:6" ht="72" x14ac:dyDescent="0.3">
      <c r="A53" s="230" t="s">
        <v>39</v>
      </c>
      <c r="B53" s="231">
        <v>244</v>
      </c>
      <c r="C53" s="231">
        <v>343</v>
      </c>
      <c r="D53" s="3">
        <f t="shared" si="1"/>
        <v>0</v>
      </c>
      <c r="E53" s="1">
        <f>'платные на 2022 год '!E166</f>
        <v>0</v>
      </c>
      <c r="F53" s="1"/>
    </row>
    <row r="54" spans="1:6" ht="72" x14ac:dyDescent="0.3">
      <c r="A54" s="230" t="s">
        <v>40</v>
      </c>
      <c r="B54" s="231">
        <v>244</v>
      </c>
      <c r="C54" s="231">
        <v>344</v>
      </c>
      <c r="D54" s="3">
        <f t="shared" si="1"/>
        <v>0</v>
      </c>
      <c r="E54" s="1">
        <f>'платные на 2022 год '!E167</f>
        <v>0</v>
      </c>
      <c r="F54" s="1"/>
    </row>
    <row r="55" spans="1:6" ht="54" x14ac:dyDescent="0.3">
      <c r="A55" s="230" t="s">
        <v>41</v>
      </c>
      <c r="B55" s="231">
        <v>244</v>
      </c>
      <c r="C55" s="231">
        <v>345</v>
      </c>
      <c r="D55" s="3">
        <f t="shared" si="1"/>
        <v>0</v>
      </c>
      <c r="E55" s="1">
        <f>'платные на 2022 год '!E168</f>
        <v>0</v>
      </c>
      <c r="F55" s="1"/>
    </row>
    <row r="56" spans="1:6" ht="72" x14ac:dyDescent="0.3">
      <c r="A56" s="230" t="s">
        <v>42</v>
      </c>
      <c r="B56" s="231">
        <v>244</v>
      </c>
      <c r="C56" s="231">
        <v>346</v>
      </c>
      <c r="D56" s="3">
        <f t="shared" si="1"/>
        <v>0</v>
      </c>
      <c r="E56" s="1">
        <f>'платные на 2022 год '!E169</f>
        <v>0</v>
      </c>
      <c r="F56" s="1"/>
    </row>
    <row r="57" spans="1:6" ht="108" x14ac:dyDescent="0.3">
      <c r="A57" s="261" t="s">
        <v>446</v>
      </c>
      <c r="B57" s="262">
        <v>244</v>
      </c>
      <c r="C57" s="262">
        <v>347</v>
      </c>
      <c r="D57" s="3"/>
      <c r="E57" s="1"/>
      <c r="F57" s="1"/>
    </row>
    <row r="58" spans="1:6" ht="108" x14ac:dyDescent="0.3">
      <c r="A58" s="230" t="s">
        <v>43</v>
      </c>
      <c r="B58" s="231">
        <v>244</v>
      </c>
      <c r="C58" s="231">
        <v>349</v>
      </c>
      <c r="D58" s="3">
        <f t="shared" si="1"/>
        <v>0</v>
      </c>
      <c r="E58" s="1">
        <f>'платные на 2022 год '!E170</f>
        <v>0</v>
      </c>
      <c r="F58" s="1"/>
    </row>
    <row r="59" spans="1:6" ht="32.4" customHeight="1" x14ac:dyDescent="0.3">
      <c r="A59" s="403" t="s">
        <v>201</v>
      </c>
      <c r="B59" s="403"/>
      <c r="C59" s="403"/>
      <c r="D59" s="403"/>
      <c r="E59" s="403"/>
      <c r="F59" s="403"/>
    </row>
    <row r="60" spans="1:6" ht="25.5" customHeight="1" x14ac:dyDescent="0.3">
      <c r="A60" s="230" t="s">
        <v>8</v>
      </c>
      <c r="B60" s="231" t="s">
        <v>5</v>
      </c>
      <c r="C60" s="231">
        <v>200</v>
      </c>
      <c r="D60" s="3">
        <f>E60+F60</f>
        <v>13803375.27</v>
      </c>
      <c r="E60" s="1">
        <f>E62+E65+E88</f>
        <v>13803366.34</v>
      </c>
      <c r="F60" s="1">
        <f>F62+F65+F88</f>
        <v>8.93</v>
      </c>
    </row>
    <row r="61" spans="1:6" ht="25.5" customHeight="1" x14ac:dyDescent="0.3">
      <c r="A61" s="230" t="s">
        <v>9</v>
      </c>
      <c r="B61" s="231"/>
      <c r="C61" s="231"/>
      <c r="D61" s="3"/>
      <c r="E61" s="1"/>
      <c r="F61" s="1"/>
    </row>
    <row r="62" spans="1:6" ht="72" x14ac:dyDescent="0.3">
      <c r="A62" s="230" t="s">
        <v>10</v>
      </c>
      <c r="B62" s="231" t="s">
        <v>5</v>
      </c>
      <c r="C62" s="231">
        <v>210</v>
      </c>
      <c r="D62" s="3">
        <f>E62+F62</f>
        <v>0</v>
      </c>
      <c r="E62" s="1">
        <f>E64</f>
        <v>0</v>
      </c>
      <c r="F62" s="1">
        <f>F64</f>
        <v>0</v>
      </c>
    </row>
    <row r="63" spans="1:6" ht="18" x14ac:dyDescent="0.3">
      <c r="A63" s="230" t="s">
        <v>9</v>
      </c>
      <c r="B63" s="231"/>
      <c r="C63" s="231"/>
      <c r="D63" s="3"/>
      <c r="E63" s="1"/>
      <c r="F63" s="1"/>
    </row>
    <row r="64" spans="1:6" ht="72" x14ac:dyDescent="0.3">
      <c r="A64" s="230" t="s">
        <v>200</v>
      </c>
      <c r="B64" s="231">
        <v>244</v>
      </c>
      <c r="C64" s="231">
        <v>214</v>
      </c>
      <c r="D64" s="3">
        <f>E64+F64</f>
        <v>0</v>
      </c>
      <c r="E64" s="1">
        <f>'платные на 2022 год '!E176</f>
        <v>0</v>
      </c>
      <c r="F64" s="1"/>
    </row>
    <row r="65" spans="1:6" ht="36" x14ac:dyDescent="0.3">
      <c r="A65" s="230" t="s">
        <v>14</v>
      </c>
      <c r="B65" s="231" t="s">
        <v>5</v>
      </c>
      <c r="C65" s="231">
        <v>220</v>
      </c>
      <c r="D65" s="3">
        <f>E65+F65</f>
        <v>13803375.27</v>
      </c>
      <c r="E65" s="1">
        <f>E67+E68+E69+E79+E80+E83+E86</f>
        <v>13803366.34</v>
      </c>
      <c r="F65" s="1">
        <f>F67+F68+F69+F79+F80+F83+F86</f>
        <v>8.93</v>
      </c>
    </row>
    <row r="66" spans="1:6" ht="18" x14ac:dyDescent="0.3">
      <c r="A66" s="230" t="s">
        <v>9</v>
      </c>
      <c r="B66" s="231"/>
      <c r="C66" s="231"/>
      <c r="D66" s="3"/>
      <c r="E66" s="1"/>
      <c r="F66" s="1"/>
    </row>
    <row r="67" spans="1:6" ht="27.75" customHeight="1" x14ac:dyDescent="0.3">
      <c r="A67" s="230" t="s">
        <v>15</v>
      </c>
      <c r="B67" s="231">
        <v>244</v>
      </c>
      <c r="C67" s="231">
        <v>221</v>
      </c>
      <c r="D67" s="3">
        <f>E67+F67</f>
        <v>390000</v>
      </c>
      <c r="E67" s="1">
        <f>'платные на 2022 год '!E179</f>
        <v>390000</v>
      </c>
      <c r="F67" s="1"/>
    </row>
    <row r="68" spans="1:6" ht="36" x14ac:dyDescent="0.3">
      <c r="A68" s="230" t="s">
        <v>16</v>
      </c>
      <c r="B68" s="231">
        <v>244</v>
      </c>
      <c r="C68" s="231">
        <v>222</v>
      </c>
      <c r="D68" s="3">
        <f>E68+F68</f>
        <v>181347.08</v>
      </c>
      <c r="E68" s="1">
        <f>'платные на 2022 год '!E180</f>
        <v>181347.08</v>
      </c>
      <c r="F68" s="1"/>
    </row>
    <row r="69" spans="1:6" ht="36" x14ac:dyDescent="0.3">
      <c r="A69" s="230" t="s">
        <v>17</v>
      </c>
      <c r="B69" s="231" t="s">
        <v>5</v>
      </c>
      <c r="C69" s="231">
        <v>223</v>
      </c>
      <c r="D69" s="3">
        <f>E69+F69</f>
        <v>521159.2</v>
      </c>
      <c r="E69" s="1">
        <f>E74+E75+E76+E77+E78</f>
        <v>521150.27</v>
      </c>
      <c r="F69" s="1">
        <f>F74+F75+F76+F77+F78</f>
        <v>8.93</v>
      </c>
    </row>
    <row r="70" spans="1:6" ht="26.25" customHeight="1" x14ac:dyDescent="0.3">
      <c r="A70" s="230" t="s">
        <v>6</v>
      </c>
      <c r="B70" s="231"/>
      <c r="C70" s="231"/>
      <c r="D70" s="3"/>
      <c r="E70" s="1"/>
      <c r="F70" s="1"/>
    </row>
    <row r="71" spans="1:6" ht="57" customHeight="1" x14ac:dyDescent="0.3">
      <c r="A71" s="261" t="s">
        <v>18</v>
      </c>
      <c r="B71" s="262">
        <v>244</v>
      </c>
      <c r="C71" s="262">
        <v>223</v>
      </c>
      <c r="D71" s="3"/>
      <c r="E71" s="1"/>
      <c r="F71" s="1"/>
    </row>
    <row r="72" spans="1:6" ht="33.75" customHeight="1" x14ac:dyDescent="0.3">
      <c r="A72" s="316" t="s">
        <v>19</v>
      </c>
      <c r="B72" s="317">
        <v>244</v>
      </c>
      <c r="C72" s="317">
        <v>223</v>
      </c>
      <c r="D72" s="3"/>
      <c r="E72" s="1"/>
      <c r="F72" s="1"/>
    </row>
    <row r="73" spans="1:6" ht="56.25" customHeight="1" x14ac:dyDescent="0.3">
      <c r="A73" s="316" t="s">
        <v>20</v>
      </c>
      <c r="B73" s="317">
        <v>244</v>
      </c>
      <c r="C73" s="317">
        <v>223</v>
      </c>
      <c r="D73" s="3"/>
      <c r="E73" s="1"/>
      <c r="F73" s="1"/>
    </row>
    <row r="74" spans="1:6" ht="54" x14ac:dyDescent="0.3">
      <c r="A74" s="230" t="s">
        <v>18</v>
      </c>
      <c r="B74" s="231">
        <v>247</v>
      </c>
      <c r="C74" s="231">
        <v>223</v>
      </c>
      <c r="D74" s="3">
        <f t="shared" ref="D74:D79" si="2">E74+F74</f>
        <v>100000</v>
      </c>
      <c r="E74" s="1">
        <f>'платные на 2022 год '!E183</f>
        <v>100000</v>
      </c>
      <c r="F74" s="1"/>
    </row>
    <row r="75" spans="1:6" ht="36" x14ac:dyDescent="0.3">
      <c r="A75" s="230" t="s">
        <v>19</v>
      </c>
      <c r="B75" s="231">
        <v>247</v>
      </c>
      <c r="C75" s="231">
        <v>223</v>
      </c>
      <c r="D75" s="3">
        <f t="shared" si="2"/>
        <v>0</v>
      </c>
      <c r="E75" s="1">
        <f>'платные на 2022 год '!E184</f>
        <v>0</v>
      </c>
      <c r="F75" s="1"/>
    </row>
    <row r="76" spans="1:6" ht="54.75" customHeight="1" x14ac:dyDescent="0.3">
      <c r="A76" s="230" t="s">
        <v>20</v>
      </c>
      <c r="B76" s="231">
        <v>247</v>
      </c>
      <c r="C76" s="231">
        <v>223</v>
      </c>
      <c r="D76" s="3">
        <f t="shared" si="2"/>
        <v>150000</v>
      </c>
      <c r="E76" s="1">
        <f>'платные на 2022 год '!E185-8.93</f>
        <v>149991.07</v>
      </c>
      <c r="F76" s="1">
        <v>8.93</v>
      </c>
    </row>
    <row r="77" spans="1:6" ht="72" x14ac:dyDescent="0.3">
      <c r="A77" s="230" t="s">
        <v>21</v>
      </c>
      <c r="B77" s="231">
        <v>244</v>
      </c>
      <c r="C77" s="231">
        <v>223</v>
      </c>
      <c r="D77" s="3">
        <f t="shared" si="2"/>
        <v>150000</v>
      </c>
      <c r="E77" s="1">
        <f>'платные на 2022 год '!E186</f>
        <v>150000</v>
      </c>
      <c r="F77" s="1"/>
    </row>
    <row r="78" spans="1:6" ht="54" x14ac:dyDescent="0.3">
      <c r="A78" s="230" t="s">
        <v>22</v>
      </c>
      <c r="B78" s="231">
        <v>244</v>
      </c>
      <c r="C78" s="231">
        <v>223</v>
      </c>
      <c r="D78" s="3">
        <f t="shared" si="2"/>
        <v>121159.2</v>
      </c>
      <c r="E78" s="1">
        <f>'платные на 2022 год '!E187</f>
        <v>121159.2</v>
      </c>
      <c r="F78" s="1"/>
    </row>
    <row r="79" spans="1:6" ht="162" x14ac:dyDescent="0.3">
      <c r="A79" s="230" t="s">
        <v>23</v>
      </c>
      <c r="B79" s="231">
        <v>244</v>
      </c>
      <c r="C79" s="231">
        <v>224</v>
      </c>
      <c r="D79" s="3">
        <f t="shared" si="2"/>
        <v>0</v>
      </c>
      <c r="E79" s="1">
        <f>'платные на 2022 год '!E188</f>
        <v>0</v>
      </c>
      <c r="F79" s="1"/>
    </row>
    <row r="80" spans="1:6" ht="54" x14ac:dyDescent="0.3">
      <c r="A80" s="230" t="s">
        <v>24</v>
      </c>
      <c r="B80" s="231" t="s">
        <v>5</v>
      </c>
      <c r="C80" s="231">
        <v>225</v>
      </c>
      <c r="D80" s="1">
        <f>D81+D82</f>
        <v>4720000</v>
      </c>
      <c r="E80" s="1">
        <f>E81+E82</f>
        <v>4720000</v>
      </c>
      <c r="F80" s="1">
        <f>F81+F82</f>
        <v>0</v>
      </c>
    </row>
    <row r="81" spans="1:6" ht="18" x14ac:dyDescent="0.3">
      <c r="A81" s="407" t="s">
        <v>6</v>
      </c>
      <c r="B81" s="231">
        <v>243</v>
      </c>
      <c r="C81" s="231">
        <v>225</v>
      </c>
      <c r="D81" s="3">
        <f t="shared" ref="D81:D92" si="3">E81+F81</f>
        <v>0</v>
      </c>
      <c r="E81" s="1">
        <f>'платные на 2022 год '!E190</f>
        <v>0</v>
      </c>
      <c r="F81" s="1"/>
    </row>
    <row r="82" spans="1:6" ht="18" x14ac:dyDescent="0.3">
      <c r="A82" s="407"/>
      <c r="B82" s="231">
        <v>244</v>
      </c>
      <c r="C82" s="231">
        <v>225</v>
      </c>
      <c r="D82" s="3">
        <f t="shared" si="3"/>
        <v>4720000</v>
      </c>
      <c r="E82" s="1">
        <f>'платные на 2022 год '!E191</f>
        <v>4720000</v>
      </c>
      <c r="F82" s="1"/>
    </row>
    <row r="83" spans="1:6" ht="36" x14ac:dyDescent="0.3">
      <c r="A83" s="230" t="s">
        <v>58</v>
      </c>
      <c r="B83" s="231" t="s">
        <v>5</v>
      </c>
      <c r="C83" s="231">
        <v>226</v>
      </c>
      <c r="D83" s="3">
        <f t="shared" si="3"/>
        <v>7971057</v>
      </c>
      <c r="E83" s="1">
        <f>E84+E85</f>
        <v>7971057</v>
      </c>
      <c r="F83" s="1">
        <f>F84+F85</f>
        <v>0</v>
      </c>
    </row>
    <row r="84" spans="1:6" ht="18" x14ac:dyDescent="0.3">
      <c r="A84" s="407" t="s">
        <v>6</v>
      </c>
      <c r="B84" s="231">
        <v>243</v>
      </c>
      <c r="C84" s="231">
        <v>226</v>
      </c>
      <c r="D84" s="3">
        <f t="shared" si="3"/>
        <v>160000</v>
      </c>
      <c r="E84" s="1">
        <f>'платные на 2022 год '!E193</f>
        <v>160000</v>
      </c>
      <c r="F84" s="1"/>
    </row>
    <row r="85" spans="1:6" ht="18" x14ac:dyDescent="0.3">
      <c r="A85" s="407"/>
      <c r="B85" s="231">
        <v>244</v>
      </c>
      <c r="C85" s="231">
        <v>226</v>
      </c>
      <c r="D85" s="3">
        <f t="shared" si="3"/>
        <v>7811057</v>
      </c>
      <c r="E85" s="1">
        <f>'платные на 2022 год '!E194</f>
        <v>7811057</v>
      </c>
      <c r="F85" s="1"/>
    </row>
    <row r="86" spans="1:6" ht="18" x14ac:dyDescent="0.3">
      <c r="A86" s="230" t="s">
        <v>25</v>
      </c>
      <c r="B86" s="231">
        <v>244</v>
      </c>
      <c r="C86" s="231">
        <v>227</v>
      </c>
      <c r="D86" s="3">
        <f t="shared" si="3"/>
        <v>19811.989999999998</v>
      </c>
      <c r="E86" s="1">
        <f>'платные на 2022 год '!E195</f>
        <v>19811.989999999998</v>
      </c>
      <c r="F86" s="1"/>
    </row>
    <row r="87" spans="1:6" ht="54" x14ac:dyDescent="0.3">
      <c r="A87" s="261" t="s">
        <v>445</v>
      </c>
      <c r="B87" s="262">
        <v>244</v>
      </c>
      <c r="C87" s="262">
        <v>228</v>
      </c>
      <c r="D87" s="3">
        <v>0</v>
      </c>
      <c r="E87" s="1">
        <v>0</v>
      </c>
      <c r="F87" s="1"/>
    </row>
    <row r="88" spans="1:6" ht="18" x14ac:dyDescent="0.3">
      <c r="A88" s="230" t="s">
        <v>30</v>
      </c>
      <c r="B88" s="231" t="s">
        <v>5</v>
      </c>
      <c r="C88" s="231">
        <v>290</v>
      </c>
      <c r="D88" s="3">
        <f t="shared" si="3"/>
        <v>0</v>
      </c>
      <c r="E88" s="1">
        <f>E90+E91</f>
        <v>0</v>
      </c>
      <c r="F88" s="1">
        <f>F90+F91</f>
        <v>0</v>
      </c>
    </row>
    <row r="89" spans="1:6" ht="18" x14ac:dyDescent="0.3">
      <c r="A89" s="230" t="s">
        <v>9</v>
      </c>
      <c r="B89" s="231"/>
      <c r="C89" s="231"/>
      <c r="D89" s="3">
        <f t="shared" si="3"/>
        <v>0</v>
      </c>
      <c r="E89" s="1"/>
      <c r="F89" s="1"/>
    </row>
    <row r="90" spans="1:6" ht="54" x14ac:dyDescent="0.3">
      <c r="A90" s="230" t="s">
        <v>34</v>
      </c>
      <c r="B90" s="231">
        <v>244</v>
      </c>
      <c r="C90" s="231">
        <v>296</v>
      </c>
      <c r="D90" s="3">
        <f t="shared" si="3"/>
        <v>0</v>
      </c>
      <c r="E90" s="1">
        <f>'платные на 2022 год '!E198</f>
        <v>0</v>
      </c>
      <c r="F90" s="1"/>
    </row>
    <row r="91" spans="1:6" ht="54" x14ac:dyDescent="0.3">
      <c r="A91" s="230" t="s">
        <v>35</v>
      </c>
      <c r="B91" s="231">
        <v>244</v>
      </c>
      <c r="C91" s="231">
        <v>297</v>
      </c>
      <c r="D91" s="3">
        <f t="shared" si="3"/>
        <v>0</v>
      </c>
      <c r="E91" s="1">
        <f>'платные на 2022 год '!E199</f>
        <v>0</v>
      </c>
      <c r="F91" s="1"/>
    </row>
    <row r="92" spans="1:6" ht="54" x14ac:dyDescent="0.3">
      <c r="A92" s="230" t="s">
        <v>59</v>
      </c>
      <c r="B92" s="231" t="s">
        <v>5</v>
      </c>
      <c r="C92" s="231">
        <v>300</v>
      </c>
      <c r="D92" s="3">
        <f t="shared" si="3"/>
        <v>11685773.58</v>
      </c>
      <c r="E92" s="1">
        <f>E94+E96+E95</f>
        <v>11571569.58</v>
      </c>
      <c r="F92" s="1">
        <f>F94+F96+F95</f>
        <v>114204</v>
      </c>
    </row>
    <row r="93" spans="1:6" ht="18" x14ac:dyDescent="0.3">
      <c r="A93" s="230" t="s">
        <v>9</v>
      </c>
      <c r="B93" s="231"/>
      <c r="C93" s="231"/>
      <c r="D93" s="3"/>
      <c r="E93" s="1"/>
      <c r="F93" s="1"/>
    </row>
    <row r="94" spans="1:6" ht="54" x14ac:dyDescent="0.3">
      <c r="A94" s="230" t="s">
        <v>36</v>
      </c>
      <c r="B94" s="231">
        <v>244</v>
      </c>
      <c r="C94" s="231">
        <v>310</v>
      </c>
      <c r="D94" s="3">
        <f>E94+F94</f>
        <v>5300000</v>
      </c>
      <c r="E94" s="1">
        <f>'платные на 2022 год '!E202-F94</f>
        <v>5185796</v>
      </c>
      <c r="F94" s="1">
        <v>114204</v>
      </c>
    </row>
    <row r="95" spans="1:6" ht="72" x14ac:dyDescent="0.3">
      <c r="A95" s="230" t="s">
        <v>68</v>
      </c>
      <c r="B95" s="231">
        <v>244</v>
      </c>
      <c r="C95" s="231">
        <v>320</v>
      </c>
      <c r="D95" s="3">
        <f>E95+F95</f>
        <v>0</v>
      </c>
      <c r="E95" s="1">
        <f>'платные на 2022 год '!E203</f>
        <v>0</v>
      </c>
      <c r="F95" s="1"/>
    </row>
    <row r="96" spans="1:6" ht="72" x14ac:dyDescent="0.3">
      <c r="A96" s="230" t="s">
        <v>60</v>
      </c>
      <c r="B96" s="231" t="s">
        <v>5</v>
      </c>
      <c r="C96" s="231">
        <v>340</v>
      </c>
      <c r="D96" s="3">
        <f>E96+F96</f>
        <v>6385773.5800000001</v>
      </c>
      <c r="E96" s="1">
        <f>E98+E99+E100+E101+E102+E103+E105</f>
        <v>6385773.5800000001</v>
      </c>
      <c r="F96" s="1">
        <f>F98+F99+F100+F101+F102+F103+F105</f>
        <v>0</v>
      </c>
    </row>
    <row r="97" spans="1:6" ht="18" x14ac:dyDescent="0.3">
      <c r="A97" s="230" t="s">
        <v>6</v>
      </c>
      <c r="B97" s="231"/>
      <c r="C97" s="231"/>
      <c r="D97" s="3"/>
      <c r="E97" s="1"/>
      <c r="F97" s="1"/>
    </row>
    <row r="98" spans="1:6" ht="126" x14ac:dyDescent="0.3">
      <c r="A98" s="230" t="s">
        <v>37</v>
      </c>
      <c r="B98" s="231">
        <v>244</v>
      </c>
      <c r="C98" s="231">
        <v>341</v>
      </c>
      <c r="D98" s="3">
        <f t="shared" ref="D98:D105" si="4">E98+F98</f>
        <v>0</v>
      </c>
      <c r="E98" s="1">
        <f>'платные на 2022 год '!E206</f>
        <v>0</v>
      </c>
      <c r="F98" s="1"/>
    </row>
    <row r="99" spans="1:6" ht="54" x14ac:dyDescent="0.3">
      <c r="A99" s="230" t="s">
        <v>38</v>
      </c>
      <c r="B99" s="231">
        <v>244</v>
      </c>
      <c r="C99" s="231">
        <v>342</v>
      </c>
      <c r="D99" s="3">
        <f t="shared" si="4"/>
        <v>0</v>
      </c>
      <c r="E99" s="1">
        <f>'платные на 2022 год '!E207</f>
        <v>0</v>
      </c>
      <c r="F99" s="1"/>
    </row>
    <row r="100" spans="1:6" ht="72" x14ac:dyDescent="0.3">
      <c r="A100" s="230" t="s">
        <v>39</v>
      </c>
      <c r="B100" s="231">
        <v>244</v>
      </c>
      <c r="C100" s="231">
        <v>343</v>
      </c>
      <c r="D100" s="3">
        <f t="shared" si="4"/>
        <v>450000</v>
      </c>
      <c r="E100" s="1">
        <f>'платные на 2022 год '!E208</f>
        <v>450000</v>
      </c>
      <c r="F100" s="1"/>
    </row>
    <row r="101" spans="1:6" ht="72" x14ac:dyDescent="0.3">
      <c r="A101" s="230" t="s">
        <v>40</v>
      </c>
      <c r="B101" s="231">
        <v>244</v>
      </c>
      <c r="C101" s="231">
        <v>344</v>
      </c>
      <c r="D101" s="3">
        <f t="shared" si="4"/>
        <v>500000</v>
      </c>
      <c r="E101" s="1">
        <f>'платные на 2022 год '!E209</f>
        <v>500000</v>
      </c>
      <c r="F101" s="1"/>
    </row>
    <row r="102" spans="1:6" ht="54" x14ac:dyDescent="0.3">
      <c r="A102" s="230" t="s">
        <v>41</v>
      </c>
      <c r="B102" s="231">
        <v>244</v>
      </c>
      <c r="C102" s="231">
        <v>345</v>
      </c>
      <c r="D102" s="3">
        <f t="shared" si="4"/>
        <v>350000</v>
      </c>
      <c r="E102" s="1">
        <f>'платные на 2022 год '!E210</f>
        <v>350000</v>
      </c>
      <c r="F102" s="1"/>
    </row>
    <row r="103" spans="1:6" ht="72" x14ac:dyDescent="0.3">
      <c r="A103" s="230" t="s">
        <v>42</v>
      </c>
      <c r="B103" s="231">
        <v>244</v>
      </c>
      <c r="C103" s="231">
        <v>346</v>
      </c>
      <c r="D103" s="3">
        <f t="shared" si="4"/>
        <v>4645773.58</v>
      </c>
      <c r="E103" s="1">
        <f>'платные на 2022 год '!E211</f>
        <v>4645773.58</v>
      </c>
      <c r="F103" s="1"/>
    </row>
    <row r="104" spans="1:6" ht="108" x14ac:dyDescent="0.3">
      <c r="A104" s="261" t="s">
        <v>446</v>
      </c>
      <c r="B104" s="262">
        <v>244</v>
      </c>
      <c r="C104" s="262">
        <v>347</v>
      </c>
      <c r="D104" s="3">
        <v>0</v>
      </c>
      <c r="E104" s="1">
        <v>0</v>
      </c>
      <c r="F104" s="1"/>
    </row>
    <row r="105" spans="1:6" ht="108" x14ac:dyDescent="0.3">
      <c r="A105" s="230" t="s">
        <v>43</v>
      </c>
      <c r="B105" s="231">
        <v>244</v>
      </c>
      <c r="C105" s="231">
        <v>349</v>
      </c>
      <c r="D105" s="3">
        <f t="shared" si="4"/>
        <v>440000</v>
      </c>
      <c r="E105" s="1">
        <f>'платные на 2022 год '!E212</f>
        <v>440000</v>
      </c>
      <c r="F105" s="1"/>
    </row>
    <row r="106" spans="1:6" ht="18" x14ac:dyDescent="0.3">
      <c r="A106" s="13"/>
      <c r="B106" s="17"/>
      <c r="C106" s="17"/>
      <c r="D106" s="34"/>
      <c r="E106" s="34"/>
      <c r="F106" s="34"/>
    </row>
    <row r="107" spans="1:6" ht="15" x14ac:dyDescent="0.3">
      <c r="A107" s="9"/>
    </row>
    <row r="108" spans="1:6" ht="18" x14ac:dyDescent="0.35">
      <c r="A108" s="396" t="s">
        <v>52</v>
      </c>
      <c r="B108" s="396"/>
      <c r="C108" s="182"/>
      <c r="D108" s="183"/>
      <c r="E108" s="400" t="s">
        <v>267</v>
      </c>
      <c r="F108" s="400"/>
    </row>
    <row r="109" spans="1:6" ht="18" x14ac:dyDescent="0.35">
      <c r="A109" s="27"/>
      <c r="B109" s="174"/>
      <c r="C109" s="173"/>
      <c r="D109" s="173" t="s">
        <v>53</v>
      </c>
      <c r="E109" s="401" t="s">
        <v>54</v>
      </c>
      <c r="F109" s="401"/>
    </row>
    <row r="110" spans="1:6" ht="18" x14ac:dyDescent="0.35">
      <c r="A110" s="27"/>
      <c r="B110" s="176"/>
      <c r="C110" s="8"/>
      <c r="D110" s="8"/>
      <c r="E110" s="8"/>
      <c r="F110" s="8"/>
    </row>
    <row r="111" spans="1:6" ht="18" x14ac:dyDescent="0.35">
      <c r="A111" s="396" t="s">
        <v>55</v>
      </c>
      <c r="B111" s="396"/>
      <c r="C111" s="182"/>
      <c r="D111" s="183"/>
      <c r="E111" s="400" t="s">
        <v>464</v>
      </c>
      <c r="F111" s="400"/>
    </row>
    <row r="112" spans="1:6" ht="18" x14ac:dyDescent="0.35">
      <c r="A112" s="27"/>
      <c r="B112" s="174"/>
      <c r="C112" s="173"/>
      <c r="D112" s="173" t="s">
        <v>53</v>
      </c>
      <c r="E112" s="401" t="s">
        <v>54</v>
      </c>
      <c r="F112" s="401"/>
    </row>
    <row r="113" spans="1:6" ht="18" x14ac:dyDescent="0.35">
      <c r="A113" s="27"/>
      <c r="B113" s="175"/>
      <c r="C113" s="153"/>
      <c r="D113" s="8"/>
      <c r="E113" s="110"/>
      <c r="F113" s="110"/>
    </row>
    <row r="114" spans="1:6" ht="18" x14ac:dyDescent="0.35">
      <c r="A114" s="27" t="s">
        <v>56</v>
      </c>
      <c r="B114" s="174"/>
      <c r="C114" s="182"/>
      <c r="D114" s="183"/>
      <c r="E114" s="400" t="s">
        <v>268</v>
      </c>
      <c r="F114" s="400"/>
    </row>
    <row r="115" spans="1:6" ht="18" x14ac:dyDescent="0.35">
      <c r="A115" s="27"/>
      <c r="B115" s="174"/>
      <c r="C115" s="173"/>
      <c r="D115" s="173" t="s">
        <v>53</v>
      </c>
      <c r="E115" s="401" t="s">
        <v>54</v>
      </c>
      <c r="F115" s="401"/>
    </row>
    <row r="116" spans="1:6" ht="18" x14ac:dyDescent="0.35">
      <c r="A116" s="27" t="s">
        <v>428</v>
      </c>
      <c r="B116" s="8"/>
      <c r="C116" s="8"/>
      <c r="D116" s="8"/>
      <c r="E116" s="8"/>
      <c r="F116" s="8"/>
    </row>
    <row r="117" spans="1:6" ht="18" x14ac:dyDescent="0.35">
      <c r="A117" s="396" t="s">
        <v>483</v>
      </c>
      <c r="B117" s="396"/>
      <c r="C117" s="8"/>
      <c r="D117" s="8"/>
      <c r="E117" s="8"/>
      <c r="F117" s="8"/>
    </row>
  </sheetData>
  <mergeCells count="23">
    <mergeCell ref="A117:B117"/>
    <mergeCell ref="E112:F112"/>
    <mergeCell ref="E114:F114"/>
    <mergeCell ref="E115:F115"/>
    <mergeCell ref="E108:F108"/>
    <mergeCell ref="E109:F109"/>
    <mergeCell ref="E111:F111"/>
    <mergeCell ref="A108:B108"/>
    <mergeCell ref="A111:B111"/>
    <mergeCell ref="A84:A85"/>
    <mergeCell ref="A1:F1"/>
    <mergeCell ref="A2:F2"/>
    <mergeCell ref="A5:A7"/>
    <mergeCell ref="B5:B7"/>
    <mergeCell ref="C5:C7"/>
    <mergeCell ref="D5:D7"/>
    <mergeCell ref="E5:F5"/>
    <mergeCell ref="E6:F6"/>
    <mergeCell ref="A12:F12"/>
    <mergeCell ref="A34:A35"/>
    <mergeCell ref="A37:A38"/>
    <mergeCell ref="A59:F59"/>
    <mergeCell ref="A81:A82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13"/>
  <sheetViews>
    <sheetView showWhiteSpace="0" view="pageLayout" topLeftCell="A25" zoomScale="110" zoomScaleNormal="100" zoomScalePageLayoutView="110" workbookViewId="0">
      <selection sqref="A1:G37"/>
    </sheetView>
  </sheetViews>
  <sheetFormatPr defaultColWidth="8.88671875" defaultRowHeight="14.4" x14ac:dyDescent="0.3"/>
  <cols>
    <col min="1" max="1" width="21.6640625" style="5" customWidth="1"/>
    <col min="2" max="2" width="15.33203125" style="5" customWidth="1"/>
    <col min="3" max="7" width="16.44140625" style="5" customWidth="1"/>
    <col min="8" max="9" width="13.6640625" style="5" bestFit="1" customWidth="1"/>
    <col min="10" max="10" width="14.33203125" style="5" bestFit="1" customWidth="1"/>
    <col min="11" max="16384" width="8.88671875" style="5"/>
  </cols>
  <sheetData>
    <row r="1" spans="1:10" ht="40.200000000000003" customHeight="1" x14ac:dyDescent="0.3">
      <c r="A1" s="432" t="s">
        <v>430</v>
      </c>
      <c r="B1" s="432"/>
      <c r="C1" s="432"/>
      <c r="D1" s="432"/>
      <c r="E1" s="432"/>
      <c r="F1" s="432"/>
      <c r="G1" s="432"/>
    </row>
    <row r="2" spans="1:10" ht="17.399999999999999" x14ac:dyDescent="0.3">
      <c r="A2" s="356"/>
      <c r="B2" s="356"/>
      <c r="C2" s="356"/>
      <c r="D2" s="356"/>
      <c r="E2" s="356"/>
      <c r="F2" s="356"/>
      <c r="G2" s="356"/>
    </row>
    <row r="3" spans="1:10" ht="35.4" customHeight="1" x14ac:dyDescent="0.3">
      <c r="A3" s="432" t="s">
        <v>431</v>
      </c>
      <c r="B3" s="432"/>
      <c r="C3" s="432"/>
      <c r="D3" s="432"/>
      <c r="E3" s="432"/>
      <c r="F3" s="432"/>
      <c r="G3" s="432"/>
    </row>
    <row r="4" spans="1:10" ht="35.4" customHeight="1" x14ac:dyDescent="0.3">
      <c r="A4" s="432" t="s">
        <v>167</v>
      </c>
      <c r="B4" s="432"/>
      <c r="C4" s="432"/>
      <c r="D4" s="432"/>
      <c r="E4" s="432"/>
      <c r="F4" s="432"/>
      <c r="G4" s="432"/>
    </row>
    <row r="5" spans="1:10" ht="17.399999999999999" x14ac:dyDescent="0.3">
      <c r="A5" s="58"/>
    </row>
    <row r="6" spans="1:10" ht="18" x14ac:dyDescent="0.35">
      <c r="A6" s="7" t="s">
        <v>252</v>
      </c>
      <c r="B6" s="8">
        <v>120</v>
      </c>
      <c r="J6" s="74"/>
    </row>
    <row r="7" spans="1:10" ht="15" x14ac:dyDescent="0.3">
      <c r="A7" s="9"/>
    </row>
    <row r="8" spans="1:10" ht="79.95" customHeight="1" x14ac:dyDescent="0.3">
      <c r="A8" s="62" t="s">
        <v>85</v>
      </c>
      <c r="B8" s="416" t="s">
        <v>165</v>
      </c>
      <c r="C8" s="416"/>
      <c r="D8" s="416" t="s">
        <v>166</v>
      </c>
      <c r="E8" s="416"/>
      <c r="F8" s="416" t="s">
        <v>93</v>
      </c>
      <c r="G8" s="416"/>
      <c r="H8" s="44"/>
      <c r="I8" s="44"/>
      <c r="J8" s="44"/>
    </row>
    <row r="9" spans="1:10" ht="18" x14ac:dyDescent="0.3">
      <c r="A9" s="62">
        <v>1</v>
      </c>
      <c r="B9" s="416">
        <v>2</v>
      </c>
      <c r="C9" s="416"/>
      <c r="D9" s="416">
        <v>3</v>
      </c>
      <c r="E9" s="416"/>
      <c r="F9" s="416">
        <v>4</v>
      </c>
      <c r="G9" s="416"/>
      <c r="H9" s="44"/>
      <c r="I9" s="44"/>
      <c r="J9" s="44"/>
    </row>
    <row r="10" spans="1:10" ht="36" x14ac:dyDescent="0.3">
      <c r="A10" s="217" t="s">
        <v>168</v>
      </c>
      <c r="B10" s="427">
        <v>8867.25</v>
      </c>
      <c r="C10" s="427"/>
      <c r="D10" s="477">
        <v>12</v>
      </c>
      <c r="E10" s="477"/>
      <c r="F10" s="427">
        <f>B10*D10</f>
        <v>106407</v>
      </c>
      <c r="G10" s="427"/>
    </row>
    <row r="11" spans="1:10" ht="36" x14ac:dyDescent="0.3">
      <c r="A11" s="217" t="s">
        <v>434</v>
      </c>
      <c r="B11" s="427">
        <v>17182.75</v>
      </c>
      <c r="C11" s="427"/>
      <c r="D11" s="477">
        <v>12</v>
      </c>
      <c r="E11" s="477"/>
      <c r="F11" s="427">
        <f>B11*D11</f>
        <v>206193</v>
      </c>
      <c r="G11" s="427"/>
    </row>
    <row r="12" spans="1:10" ht="18" x14ac:dyDescent="0.3">
      <c r="A12" s="206" t="s">
        <v>361</v>
      </c>
      <c r="B12" s="452"/>
      <c r="C12" s="453"/>
      <c r="D12" s="408"/>
      <c r="E12" s="410"/>
      <c r="F12" s="417">
        <f>SUM(F10:F11)</f>
        <v>312600</v>
      </c>
      <c r="G12" s="417"/>
    </row>
    <row r="13" spans="1:10" ht="17.399999999999999" x14ac:dyDescent="0.3">
      <c r="A13" s="58"/>
    </row>
    <row r="14" spans="1:10" ht="43.95" customHeight="1" x14ac:dyDescent="0.3">
      <c r="A14" s="432" t="s">
        <v>173</v>
      </c>
      <c r="B14" s="432"/>
      <c r="C14" s="432"/>
      <c r="D14" s="432"/>
      <c r="E14" s="432"/>
      <c r="F14" s="432"/>
      <c r="G14" s="432"/>
    </row>
    <row r="15" spans="1:10" ht="17.399999999999999" x14ac:dyDescent="0.3">
      <c r="A15" s="61"/>
      <c r="B15" s="61"/>
      <c r="C15" s="61"/>
      <c r="D15" s="61"/>
      <c r="E15" s="61"/>
      <c r="F15" s="61"/>
      <c r="G15" s="61"/>
    </row>
    <row r="16" spans="1:10" ht="18" x14ac:dyDescent="0.35">
      <c r="A16" s="7" t="s">
        <v>252</v>
      </c>
      <c r="B16" s="8">
        <v>130</v>
      </c>
    </row>
    <row r="17" spans="1:7" ht="15" x14ac:dyDescent="0.3">
      <c r="A17" s="9"/>
    </row>
    <row r="18" spans="1:7" ht="41.4" customHeight="1" x14ac:dyDescent="0.3">
      <c r="A18" s="62" t="s">
        <v>85</v>
      </c>
      <c r="B18" s="416" t="s">
        <v>171</v>
      </c>
      <c r="C18" s="416"/>
      <c r="D18" s="416" t="s">
        <v>172</v>
      </c>
      <c r="E18" s="416"/>
      <c r="F18" s="416" t="s">
        <v>93</v>
      </c>
      <c r="G18" s="416"/>
    </row>
    <row r="19" spans="1:7" ht="18" x14ac:dyDescent="0.3">
      <c r="A19" s="62">
        <v>1</v>
      </c>
      <c r="B19" s="416">
        <v>2</v>
      </c>
      <c r="C19" s="416"/>
      <c r="D19" s="416">
        <v>3</v>
      </c>
      <c r="E19" s="416"/>
      <c r="F19" s="416">
        <v>4</v>
      </c>
      <c r="G19" s="416"/>
    </row>
    <row r="20" spans="1:7" ht="72" x14ac:dyDescent="0.3">
      <c r="A20" s="11" t="s">
        <v>163</v>
      </c>
      <c r="B20" s="529">
        <v>79683</v>
      </c>
      <c r="C20" s="529"/>
      <c r="D20" s="417">
        <v>500</v>
      </c>
      <c r="E20" s="417"/>
      <c r="F20" s="417">
        <f>'платные на 2022 год '!D13</f>
        <v>39986093</v>
      </c>
      <c r="G20" s="417"/>
    </row>
    <row r="21" spans="1:7" ht="17.399999999999999" x14ac:dyDescent="0.3">
      <c r="A21" s="58"/>
    </row>
    <row r="22" spans="1:7" ht="17.399999999999999" x14ac:dyDescent="0.3">
      <c r="A22" s="432" t="s">
        <v>254</v>
      </c>
      <c r="B22" s="432"/>
      <c r="C22" s="432"/>
      <c r="D22" s="432"/>
      <c r="E22" s="432"/>
      <c r="F22" s="432"/>
      <c r="G22" s="432"/>
    </row>
    <row r="23" spans="1:7" ht="18" x14ac:dyDescent="0.3">
      <c r="A23" s="13"/>
      <c r="B23" s="17"/>
      <c r="C23" s="17"/>
      <c r="D23" s="17"/>
      <c r="E23" s="17"/>
      <c r="F23" s="75"/>
      <c r="G23" s="75"/>
    </row>
    <row r="24" spans="1:7" ht="18" x14ac:dyDescent="0.35">
      <c r="A24" s="7" t="s">
        <v>252</v>
      </c>
      <c r="B24" s="8">
        <v>180</v>
      </c>
    </row>
    <row r="25" spans="1:7" ht="15" x14ac:dyDescent="0.3">
      <c r="A25" s="9"/>
    </row>
    <row r="26" spans="1:7" ht="43.95" customHeight="1" x14ac:dyDescent="0.3">
      <c r="A26" s="97" t="s">
        <v>85</v>
      </c>
      <c r="B26" s="416" t="s">
        <v>141</v>
      </c>
      <c r="C26" s="416"/>
      <c r="D26" s="416" t="s">
        <v>181</v>
      </c>
      <c r="E26" s="416"/>
      <c r="F26" s="416" t="s">
        <v>93</v>
      </c>
      <c r="G26" s="416"/>
    </row>
    <row r="27" spans="1:7" ht="18" x14ac:dyDescent="0.3">
      <c r="A27" s="97">
        <v>1</v>
      </c>
      <c r="B27" s="416">
        <v>2</v>
      </c>
      <c r="C27" s="416"/>
      <c r="D27" s="416">
        <v>3</v>
      </c>
      <c r="E27" s="416"/>
      <c r="F27" s="416">
        <v>4</v>
      </c>
      <c r="G27" s="416"/>
    </row>
    <row r="28" spans="1:7" ht="18" x14ac:dyDescent="0.3">
      <c r="A28" s="94" t="s">
        <v>193</v>
      </c>
      <c r="B28" s="408" t="s">
        <v>116</v>
      </c>
      <c r="C28" s="410"/>
      <c r="D28" s="408" t="s">
        <v>116</v>
      </c>
      <c r="E28" s="410"/>
      <c r="F28" s="417">
        <f>'платные на 2022 год '!E109</f>
        <v>-424211</v>
      </c>
      <c r="G28" s="416"/>
    </row>
    <row r="29" spans="1:7" ht="54" x14ac:dyDescent="0.3">
      <c r="A29" s="94" t="s">
        <v>194</v>
      </c>
      <c r="B29" s="408" t="s">
        <v>116</v>
      </c>
      <c r="C29" s="410"/>
      <c r="D29" s="408" t="s">
        <v>116</v>
      </c>
      <c r="E29" s="410"/>
      <c r="F29" s="417">
        <f>'платные на 2022 год '!E110</f>
        <v>-348696</v>
      </c>
      <c r="G29" s="416"/>
    </row>
    <row r="30" spans="1:7" ht="54" x14ac:dyDescent="0.3">
      <c r="A30" s="234" t="s">
        <v>195</v>
      </c>
      <c r="B30" s="428" t="s">
        <v>116</v>
      </c>
      <c r="C30" s="429"/>
      <c r="D30" s="428" t="s">
        <v>116</v>
      </c>
      <c r="E30" s="429"/>
      <c r="F30" s="530">
        <f>'платные на 2022 год '!E111</f>
        <v>0</v>
      </c>
      <c r="G30" s="437"/>
    </row>
    <row r="31" spans="1:7" ht="18" x14ac:dyDescent="0.3">
      <c r="A31" s="230" t="s">
        <v>361</v>
      </c>
      <c r="B31" s="408"/>
      <c r="C31" s="410"/>
      <c r="D31" s="408"/>
      <c r="E31" s="410"/>
      <c r="F31" s="417">
        <f>SUM(F28:F30)</f>
        <v>-772907</v>
      </c>
      <c r="G31" s="416"/>
    </row>
    <row r="32" spans="1:7" ht="18" x14ac:dyDescent="0.3">
      <c r="A32" s="13"/>
      <c r="B32" s="17"/>
      <c r="C32" s="17"/>
      <c r="D32" s="17"/>
      <c r="E32" s="17"/>
      <c r="F32" s="17"/>
      <c r="G32" s="17"/>
    </row>
    <row r="33" spans="1:7" ht="18" x14ac:dyDescent="0.3">
      <c r="A33" s="13"/>
      <c r="B33" s="17"/>
      <c r="C33" s="17"/>
      <c r="D33" s="17"/>
      <c r="E33" s="17"/>
      <c r="F33" s="17"/>
      <c r="G33" s="17"/>
    </row>
    <row r="34" spans="1:7" ht="18" x14ac:dyDescent="0.3">
      <c r="A34" s="13"/>
      <c r="B34" s="17"/>
      <c r="C34" s="17"/>
      <c r="D34" s="17"/>
      <c r="E34" s="17"/>
      <c r="F34" s="17"/>
      <c r="G34" s="17"/>
    </row>
    <row r="35" spans="1:7" ht="18" x14ac:dyDescent="0.3">
      <c r="A35" s="13"/>
      <c r="B35" s="17"/>
      <c r="C35" s="17"/>
      <c r="D35" s="17"/>
      <c r="E35" s="17"/>
      <c r="F35" s="17"/>
      <c r="G35" s="17"/>
    </row>
    <row r="36" spans="1:7" ht="18" x14ac:dyDescent="0.3">
      <c r="A36" s="13"/>
      <c r="B36" s="17"/>
      <c r="C36" s="17"/>
      <c r="D36" s="17"/>
      <c r="E36" s="17"/>
      <c r="F36" s="17"/>
      <c r="G36" s="17"/>
    </row>
    <row r="37" spans="1:7" ht="18" x14ac:dyDescent="0.3">
      <c r="A37" s="13"/>
      <c r="B37" s="17"/>
      <c r="C37" s="17"/>
      <c r="D37" s="17"/>
      <c r="E37" s="17"/>
      <c r="F37" s="17"/>
      <c r="G37" s="17"/>
    </row>
    <row r="38" spans="1:7" ht="48.6" customHeight="1" x14ac:dyDescent="0.3">
      <c r="A38" s="432" t="s">
        <v>432</v>
      </c>
      <c r="B38" s="432"/>
      <c r="C38" s="432"/>
      <c r="D38" s="432"/>
      <c r="E38" s="432"/>
      <c r="F38" s="432"/>
      <c r="G38" s="432"/>
    </row>
    <row r="39" spans="1:7" ht="17.399999999999999" x14ac:dyDescent="0.3">
      <c r="A39" s="6"/>
    </row>
    <row r="40" spans="1:7" ht="17.399999999999999" x14ac:dyDescent="0.3">
      <c r="A40" s="415" t="s">
        <v>188</v>
      </c>
      <c r="B40" s="415"/>
      <c r="C40" s="415"/>
      <c r="D40" s="415"/>
      <c r="E40" s="415"/>
      <c r="F40" s="415"/>
      <c r="G40" s="415"/>
    </row>
    <row r="41" spans="1:7" ht="18" x14ac:dyDescent="0.3">
      <c r="A41" s="7"/>
    </row>
    <row r="42" spans="1:7" ht="18" x14ac:dyDescent="0.35">
      <c r="A42" s="7" t="s">
        <v>144</v>
      </c>
      <c r="B42" s="8">
        <v>111</v>
      </c>
    </row>
    <row r="43" spans="1:7" ht="15" x14ac:dyDescent="0.3">
      <c r="A43" s="9"/>
    </row>
    <row r="44" spans="1:7" ht="54" customHeight="1" x14ac:dyDescent="0.3">
      <c r="A44" s="416" t="s">
        <v>75</v>
      </c>
      <c r="B44" s="513" t="s">
        <v>76</v>
      </c>
      <c r="C44" s="416" t="s">
        <v>77</v>
      </c>
      <c r="D44" s="416"/>
      <c r="E44" s="416"/>
      <c r="F44" s="416"/>
      <c r="G44" s="416" t="s">
        <v>78</v>
      </c>
    </row>
    <row r="45" spans="1:7" ht="18" x14ac:dyDescent="0.3">
      <c r="A45" s="416"/>
      <c r="B45" s="513"/>
      <c r="C45" s="416" t="s">
        <v>79</v>
      </c>
      <c r="D45" s="416" t="s">
        <v>6</v>
      </c>
      <c r="E45" s="416"/>
      <c r="F45" s="416"/>
      <c r="G45" s="416"/>
    </row>
    <row r="46" spans="1:7" ht="72" x14ac:dyDescent="0.3">
      <c r="A46" s="416"/>
      <c r="B46" s="513"/>
      <c r="C46" s="416"/>
      <c r="D46" s="156" t="s">
        <v>80</v>
      </c>
      <c r="E46" s="156" t="s">
        <v>81</v>
      </c>
      <c r="F46" s="156" t="s">
        <v>82</v>
      </c>
      <c r="G46" s="416"/>
    </row>
    <row r="47" spans="1:7" ht="18" x14ac:dyDescent="0.3">
      <c r="A47" s="156">
        <v>1</v>
      </c>
      <c r="B47" s="156">
        <v>2</v>
      </c>
      <c r="C47" s="156">
        <v>3</v>
      </c>
      <c r="D47" s="156">
        <v>4</v>
      </c>
      <c r="E47" s="156">
        <v>4</v>
      </c>
      <c r="F47" s="156">
        <v>5</v>
      </c>
      <c r="G47" s="156">
        <v>7</v>
      </c>
    </row>
    <row r="48" spans="1:7" x14ac:dyDescent="0.3">
      <c r="A48" s="185" t="s">
        <v>269</v>
      </c>
      <c r="B48" s="186">
        <v>1</v>
      </c>
      <c r="C48" s="187">
        <f t="shared" ref="C48:C55" si="0">SUM(D48:F48)</f>
        <v>9886.69</v>
      </c>
      <c r="D48" s="188"/>
      <c r="E48" s="187"/>
      <c r="F48" s="187">
        <v>9886.69</v>
      </c>
      <c r="G48" s="187">
        <f t="shared" ref="G48:G116" si="1">C48*B48*12</f>
        <v>118640.28</v>
      </c>
    </row>
    <row r="49" spans="1:7" x14ac:dyDescent="0.3">
      <c r="A49" s="189" t="s">
        <v>270</v>
      </c>
      <c r="B49" s="186">
        <v>2</v>
      </c>
      <c r="C49" s="187">
        <f t="shared" si="0"/>
        <v>6907.61</v>
      </c>
      <c r="D49" s="188"/>
      <c r="E49" s="187"/>
      <c r="F49" s="187">
        <v>6907.61</v>
      </c>
      <c r="G49" s="187">
        <f t="shared" si="1"/>
        <v>165782.63999999998</v>
      </c>
    </row>
    <row r="50" spans="1:7" x14ac:dyDescent="0.3">
      <c r="A50" s="185" t="s">
        <v>271</v>
      </c>
      <c r="B50" s="186">
        <v>1</v>
      </c>
      <c r="C50" s="187">
        <f t="shared" si="0"/>
        <v>5505.39</v>
      </c>
      <c r="D50" s="188"/>
      <c r="E50" s="190"/>
      <c r="F50" s="233">
        <v>5505.39</v>
      </c>
      <c r="G50" s="187">
        <f t="shared" si="1"/>
        <v>66064.680000000008</v>
      </c>
    </row>
    <row r="51" spans="1:7" x14ac:dyDescent="0.3">
      <c r="A51" s="185" t="s">
        <v>272</v>
      </c>
      <c r="B51" s="186">
        <v>1</v>
      </c>
      <c r="C51" s="187">
        <f t="shared" si="0"/>
        <v>5323.02</v>
      </c>
      <c r="D51" s="188"/>
      <c r="E51" s="187"/>
      <c r="F51" s="233">
        <v>5323.02</v>
      </c>
      <c r="G51" s="187">
        <f t="shared" si="1"/>
        <v>63876.240000000005</v>
      </c>
    </row>
    <row r="52" spans="1:7" ht="26.4" x14ac:dyDescent="0.3">
      <c r="A52" s="185" t="s">
        <v>273</v>
      </c>
      <c r="B52" s="186">
        <v>2</v>
      </c>
      <c r="C52" s="187">
        <f t="shared" si="0"/>
        <v>3132.02</v>
      </c>
      <c r="D52" s="188"/>
      <c r="E52" s="187"/>
      <c r="F52" s="233">
        <v>3132.02</v>
      </c>
      <c r="G52" s="187">
        <f t="shared" si="1"/>
        <v>75168.479999999996</v>
      </c>
    </row>
    <row r="53" spans="1:7" x14ac:dyDescent="0.3">
      <c r="A53" s="185" t="s">
        <v>274</v>
      </c>
      <c r="B53" s="186">
        <v>3</v>
      </c>
      <c r="C53" s="187">
        <f t="shared" si="0"/>
        <v>3862.3</v>
      </c>
      <c r="D53" s="188"/>
      <c r="E53" s="187"/>
      <c r="F53" s="233">
        <v>3862.3</v>
      </c>
      <c r="G53" s="187">
        <f t="shared" si="1"/>
        <v>139042.80000000002</v>
      </c>
    </row>
    <row r="54" spans="1:7" x14ac:dyDescent="0.3">
      <c r="A54" s="185" t="s">
        <v>275</v>
      </c>
      <c r="B54" s="186">
        <v>1</v>
      </c>
      <c r="C54" s="187">
        <f t="shared" si="0"/>
        <v>3769.75</v>
      </c>
      <c r="D54" s="188"/>
      <c r="E54" s="190"/>
      <c r="F54" s="233">
        <v>3769.75</v>
      </c>
      <c r="G54" s="187">
        <f t="shared" si="1"/>
        <v>45237</v>
      </c>
    </row>
    <row r="55" spans="1:7" x14ac:dyDescent="0.3">
      <c r="A55" s="185" t="s">
        <v>276</v>
      </c>
      <c r="B55" s="186">
        <v>0.5</v>
      </c>
      <c r="C55" s="233">
        <f t="shared" si="0"/>
        <v>3769.75</v>
      </c>
      <c r="D55" s="188"/>
      <c r="E55" s="190"/>
      <c r="F55" s="233">
        <v>3769.75</v>
      </c>
      <c r="G55" s="233">
        <f t="shared" si="1"/>
        <v>22618.5</v>
      </c>
    </row>
    <row r="56" spans="1:7" ht="18" customHeight="1" x14ac:dyDescent="0.3">
      <c r="A56" s="185" t="s">
        <v>277</v>
      </c>
      <c r="B56" s="186">
        <v>1</v>
      </c>
      <c r="C56" s="187">
        <f>SUM(D56:F56)</f>
        <v>3934.5</v>
      </c>
      <c r="D56" s="188"/>
      <c r="E56" s="187"/>
      <c r="F56" s="233">
        <v>3934.5</v>
      </c>
      <c r="G56" s="187">
        <f t="shared" si="1"/>
        <v>47214</v>
      </c>
    </row>
    <row r="57" spans="1:7" ht="18" customHeight="1" x14ac:dyDescent="0.3">
      <c r="A57" s="185" t="s">
        <v>440</v>
      </c>
      <c r="B57" s="186">
        <v>1</v>
      </c>
      <c r="C57" s="233">
        <f>SUM(D57:F57)</f>
        <v>3936.14</v>
      </c>
      <c r="D57" s="188"/>
      <c r="E57" s="233"/>
      <c r="F57" s="233">
        <v>3936.14</v>
      </c>
      <c r="G57" s="233">
        <f t="shared" si="1"/>
        <v>47233.68</v>
      </c>
    </row>
    <row r="58" spans="1:7" ht="15" customHeight="1" x14ac:dyDescent="0.3">
      <c r="A58" s="185" t="s">
        <v>374</v>
      </c>
      <c r="B58" s="186">
        <v>1</v>
      </c>
      <c r="C58" s="187">
        <f t="shared" ref="C58:C68" si="2">SUM(D58:F58)</f>
        <v>3936.14</v>
      </c>
      <c r="D58" s="188"/>
      <c r="E58" s="187"/>
      <c r="F58" s="233">
        <v>3936.14</v>
      </c>
      <c r="G58" s="187">
        <f t="shared" si="1"/>
        <v>47233.68</v>
      </c>
    </row>
    <row r="59" spans="1:7" ht="28.5" customHeight="1" x14ac:dyDescent="0.3">
      <c r="A59" s="381" t="s">
        <v>280</v>
      </c>
      <c r="B59" s="186">
        <v>1</v>
      </c>
      <c r="C59" s="187">
        <f>SUM(D59:F59)</f>
        <v>3568.34</v>
      </c>
      <c r="D59" s="188"/>
      <c r="E59" s="187"/>
      <c r="F59" s="233">
        <v>3568.34</v>
      </c>
      <c r="G59" s="187">
        <f>C59*B59*12</f>
        <v>42820.08</v>
      </c>
    </row>
    <row r="60" spans="1:7" x14ac:dyDescent="0.3">
      <c r="A60" s="185" t="s">
        <v>281</v>
      </c>
      <c r="B60" s="186">
        <v>1</v>
      </c>
      <c r="C60" s="187">
        <f>SUM(D60:F60)</f>
        <v>3356.24</v>
      </c>
      <c r="D60" s="188"/>
      <c r="E60" s="187"/>
      <c r="F60" s="233">
        <v>3356.24</v>
      </c>
      <c r="G60" s="187">
        <f t="shared" si="1"/>
        <v>40274.879999999997</v>
      </c>
    </row>
    <row r="61" spans="1:7" x14ac:dyDescent="0.3">
      <c r="A61" s="185" t="s">
        <v>282</v>
      </c>
      <c r="B61" s="186">
        <v>1</v>
      </c>
      <c r="C61" s="187">
        <f>SUM(D61:F61)</f>
        <v>3320.24</v>
      </c>
      <c r="D61" s="188"/>
      <c r="E61" s="187"/>
      <c r="F61" s="233">
        <v>3320.24</v>
      </c>
      <c r="G61" s="187">
        <f t="shared" si="1"/>
        <v>39842.879999999997</v>
      </c>
    </row>
    <row r="62" spans="1:7" ht="27" customHeight="1" x14ac:dyDescent="0.3">
      <c r="A62" s="185" t="s">
        <v>375</v>
      </c>
      <c r="B62" s="186">
        <v>1</v>
      </c>
      <c r="C62" s="187">
        <f t="shared" si="2"/>
        <v>3356.24</v>
      </c>
      <c r="D62" s="188"/>
      <c r="E62" s="190"/>
      <c r="F62" s="233">
        <v>3356.24</v>
      </c>
      <c r="G62" s="187">
        <f t="shared" si="1"/>
        <v>40274.879999999997</v>
      </c>
    </row>
    <row r="63" spans="1:7" x14ac:dyDescent="0.3">
      <c r="A63" s="185" t="s">
        <v>284</v>
      </c>
      <c r="B63" s="186">
        <v>1</v>
      </c>
      <c r="C63" s="187">
        <f t="shared" si="2"/>
        <v>3928.75</v>
      </c>
      <c r="D63" s="188"/>
      <c r="E63" s="190"/>
      <c r="F63" s="233">
        <v>3928.75</v>
      </c>
      <c r="G63" s="187">
        <f t="shared" si="1"/>
        <v>47145</v>
      </c>
    </row>
    <row r="64" spans="1:7" x14ac:dyDescent="0.3">
      <c r="A64" s="185" t="s">
        <v>376</v>
      </c>
      <c r="B64" s="186">
        <v>1</v>
      </c>
      <c r="C64" s="187">
        <f t="shared" si="2"/>
        <v>3645.12</v>
      </c>
      <c r="D64" s="188"/>
      <c r="E64" s="187"/>
      <c r="F64" s="233">
        <v>3645.12</v>
      </c>
      <c r="G64" s="187">
        <f t="shared" si="1"/>
        <v>43741.440000000002</v>
      </c>
    </row>
    <row r="65" spans="1:7" x14ac:dyDescent="0.3">
      <c r="A65" s="185" t="s">
        <v>286</v>
      </c>
      <c r="B65" s="186">
        <v>1</v>
      </c>
      <c r="C65" s="187">
        <f t="shared" si="2"/>
        <v>3543.02</v>
      </c>
      <c r="D65" s="188"/>
      <c r="E65" s="190"/>
      <c r="F65" s="233">
        <v>3543.02</v>
      </c>
      <c r="G65" s="187">
        <f t="shared" si="1"/>
        <v>42516.24</v>
      </c>
    </row>
    <row r="66" spans="1:7" ht="24.75" customHeight="1" x14ac:dyDescent="0.3">
      <c r="A66" s="185" t="s">
        <v>377</v>
      </c>
      <c r="B66" s="186">
        <v>1</v>
      </c>
      <c r="C66" s="187">
        <f t="shared" si="2"/>
        <v>3067.98</v>
      </c>
      <c r="D66" s="188"/>
      <c r="E66" s="190"/>
      <c r="F66" s="233">
        <v>3067.98</v>
      </c>
      <c r="G66" s="187">
        <f t="shared" si="1"/>
        <v>36815.760000000002</v>
      </c>
    </row>
    <row r="67" spans="1:7" ht="26.4" x14ac:dyDescent="0.3">
      <c r="A67" s="185" t="s">
        <v>378</v>
      </c>
      <c r="B67" s="186">
        <v>1</v>
      </c>
      <c r="C67" s="187">
        <f t="shared" si="2"/>
        <v>3067.98</v>
      </c>
      <c r="D67" s="188"/>
      <c r="E67" s="190"/>
      <c r="F67" s="233">
        <v>3067.98</v>
      </c>
      <c r="G67" s="187">
        <f t="shared" si="1"/>
        <v>36815.760000000002</v>
      </c>
    </row>
    <row r="68" spans="1:7" x14ac:dyDescent="0.3">
      <c r="A68" s="185" t="s">
        <v>284</v>
      </c>
      <c r="B68" s="186">
        <v>1</v>
      </c>
      <c r="C68" s="233">
        <f t="shared" si="2"/>
        <v>3067.98</v>
      </c>
      <c r="D68" s="188"/>
      <c r="E68" s="190"/>
      <c r="F68" s="233">
        <v>3067.98</v>
      </c>
      <c r="G68" s="233">
        <f t="shared" si="1"/>
        <v>36815.760000000002</v>
      </c>
    </row>
    <row r="69" spans="1:7" ht="22.5" customHeight="1" x14ac:dyDescent="0.3">
      <c r="A69" s="381" t="s">
        <v>290</v>
      </c>
      <c r="B69" s="186">
        <v>1</v>
      </c>
      <c r="C69" s="187">
        <f t="shared" ref="C69:C84" si="3">SUM(D69:F69)</f>
        <v>3015.87</v>
      </c>
      <c r="D69" s="188"/>
      <c r="E69" s="187"/>
      <c r="F69" s="233">
        <v>3015.87</v>
      </c>
      <c r="G69" s="187">
        <f t="shared" si="1"/>
        <v>36190.44</v>
      </c>
    </row>
    <row r="70" spans="1:7" ht="15.75" customHeight="1" x14ac:dyDescent="0.3">
      <c r="A70" s="185" t="s">
        <v>291</v>
      </c>
      <c r="B70" s="186">
        <v>1</v>
      </c>
      <c r="C70" s="233">
        <f t="shared" si="3"/>
        <v>3015.87</v>
      </c>
      <c r="D70" s="188"/>
      <c r="E70" s="233"/>
      <c r="F70" s="233">
        <v>3015.87</v>
      </c>
      <c r="G70" s="233">
        <f t="shared" si="1"/>
        <v>36190.44</v>
      </c>
    </row>
    <row r="71" spans="1:7" ht="27.75" customHeight="1" x14ac:dyDescent="0.3">
      <c r="A71" s="185" t="s">
        <v>292</v>
      </c>
      <c r="B71" s="186">
        <v>1</v>
      </c>
      <c r="C71" s="187">
        <f t="shared" si="3"/>
        <v>5274.12</v>
      </c>
      <c r="D71" s="188"/>
      <c r="E71" s="187"/>
      <c r="F71" s="233">
        <v>5274.12</v>
      </c>
      <c r="G71" s="187">
        <f t="shared" si="1"/>
        <v>63289.440000000002</v>
      </c>
    </row>
    <row r="72" spans="1:7" x14ac:dyDescent="0.3">
      <c r="A72" s="185" t="s">
        <v>293</v>
      </c>
      <c r="B72" s="186">
        <v>1</v>
      </c>
      <c r="C72" s="187">
        <f t="shared" si="3"/>
        <v>7035.69</v>
      </c>
      <c r="D72" s="188"/>
      <c r="E72" s="187"/>
      <c r="F72" s="233">
        <v>7035.69</v>
      </c>
      <c r="G72" s="187">
        <f t="shared" si="1"/>
        <v>84428.28</v>
      </c>
    </row>
    <row r="73" spans="1:7" x14ac:dyDescent="0.3">
      <c r="A73" s="185" t="s">
        <v>294</v>
      </c>
      <c r="B73" s="186">
        <v>1</v>
      </c>
      <c r="C73" s="187">
        <f t="shared" si="3"/>
        <v>7035.69</v>
      </c>
      <c r="D73" s="188"/>
      <c r="E73" s="187"/>
      <c r="F73" s="233">
        <v>7035.69</v>
      </c>
      <c r="G73" s="187">
        <f t="shared" si="1"/>
        <v>84428.28</v>
      </c>
    </row>
    <row r="74" spans="1:7" x14ac:dyDescent="0.3">
      <c r="A74" s="185" t="s">
        <v>295</v>
      </c>
      <c r="B74" s="186">
        <v>1</v>
      </c>
      <c r="C74" s="187">
        <f t="shared" si="3"/>
        <v>7035.69</v>
      </c>
      <c r="D74" s="188"/>
      <c r="E74" s="187"/>
      <c r="F74" s="233">
        <v>7035.69</v>
      </c>
      <c r="G74" s="187">
        <f t="shared" si="1"/>
        <v>84428.28</v>
      </c>
    </row>
    <row r="75" spans="1:7" x14ac:dyDescent="0.3">
      <c r="A75" s="185" t="s">
        <v>296</v>
      </c>
      <c r="B75" s="186">
        <v>1</v>
      </c>
      <c r="C75" s="187">
        <f t="shared" si="3"/>
        <v>7035.69</v>
      </c>
      <c r="D75" s="188"/>
      <c r="E75" s="187"/>
      <c r="F75" s="233">
        <v>7035.69</v>
      </c>
      <c r="G75" s="187">
        <f t="shared" si="1"/>
        <v>84428.28</v>
      </c>
    </row>
    <row r="76" spans="1:7" ht="26.4" x14ac:dyDescent="0.3">
      <c r="A76" s="185" t="s">
        <v>297</v>
      </c>
      <c r="B76" s="186">
        <v>1</v>
      </c>
      <c r="C76" s="187">
        <f t="shared" si="3"/>
        <v>7035.69</v>
      </c>
      <c r="D76" s="188"/>
      <c r="E76" s="187"/>
      <c r="F76" s="233">
        <v>7035.69</v>
      </c>
      <c r="G76" s="187">
        <f t="shared" si="1"/>
        <v>84428.28</v>
      </c>
    </row>
    <row r="77" spans="1:7" ht="26.4" x14ac:dyDescent="0.3">
      <c r="A77" s="185" t="s">
        <v>298</v>
      </c>
      <c r="B77" s="186">
        <v>1</v>
      </c>
      <c r="C77" s="187">
        <f t="shared" si="3"/>
        <v>7050.81</v>
      </c>
      <c r="D77" s="188"/>
      <c r="E77" s="187"/>
      <c r="F77" s="233">
        <v>7050.81</v>
      </c>
      <c r="G77" s="187">
        <f t="shared" si="1"/>
        <v>84609.72</v>
      </c>
    </row>
    <row r="78" spans="1:7" ht="26.4" x14ac:dyDescent="0.3">
      <c r="A78" s="185" t="s">
        <v>299</v>
      </c>
      <c r="B78" s="186">
        <v>1</v>
      </c>
      <c r="C78" s="187">
        <f t="shared" si="3"/>
        <v>7050.81</v>
      </c>
      <c r="D78" s="188"/>
      <c r="E78" s="187"/>
      <c r="F78" s="233">
        <v>7050.81</v>
      </c>
      <c r="G78" s="187">
        <f t="shared" si="1"/>
        <v>84609.72</v>
      </c>
    </row>
    <row r="79" spans="1:7" ht="26.4" x14ac:dyDescent="0.3">
      <c r="A79" s="185" t="s">
        <v>300</v>
      </c>
      <c r="B79" s="186">
        <v>4</v>
      </c>
      <c r="C79" s="187">
        <f t="shared" si="3"/>
        <v>5725.39</v>
      </c>
      <c r="D79" s="188"/>
      <c r="E79" s="187"/>
      <c r="F79" s="233">
        <v>5725.39</v>
      </c>
      <c r="G79" s="187">
        <f t="shared" si="1"/>
        <v>274818.72000000003</v>
      </c>
    </row>
    <row r="80" spans="1:7" ht="39.6" x14ac:dyDescent="0.3">
      <c r="A80" s="185" t="s">
        <v>301</v>
      </c>
      <c r="B80" s="186">
        <v>1</v>
      </c>
      <c r="C80" s="187">
        <f t="shared" si="3"/>
        <v>5556.45</v>
      </c>
      <c r="D80" s="188"/>
      <c r="E80" s="187"/>
      <c r="F80" s="233">
        <v>5556.45</v>
      </c>
      <c r="G80" s="187">
        <f t="shared" si="1"/>
        <v>66677.399999999994</v>
      </c>
    </row>
    <row r="81" spans="1:7" ht="29.4" customHeight="1" x14ac:dyDescent="0.3">
      <c r="A81" s="185" t="s">
        <v>302</v>
      </c>
      <c r="B81" s="186">
        <v>1</v>
      </c>
      <c r="C81" s="187">
        <f t="shared" si="3"/>
        <v>5598.41</v>
      </c>
      <c r="D81" s="188"/>
      <c r="E81" s="187"/>
      <c r="F81" s="233">
        <v>5598.41</v>
      </c>
      <c r="G81" s="187">
        <f t="shared" si="1"/>
        <v>67180.92</v>
      </c>
    </row>
    <row r="82" spans="1:7" ht="18" customHeight="1" x14ac:dyDescent="0.3">
      <c r="A82" s="185" t="s">
        <v>303</v>
      </c>
      <c r="B82" s="186">
        <v>2.5</v>
      </c>
      <c r="C82" s="187">
        <f t="shared" si="3"/>
        <v>5323.14</v>
      </c>
      <c r="D82" s="188"/>
      <c r="E82" s="187"/>
      <c r="F82" s="233">
        <v>5323.14</v>
      </c>
      <c r="G82" s="187">
        <f t="shared" si="1"/>
        <v>159694.20000000001</v>
      </c>
    </row>
    <row r="83" spans="1:7" ht="27.75" customHeight="1" x14ac:dyDescent="0.3">
      <c r="A83" s="185" t="s">
        <v>304</v>
      </c>
      <c r="B83" s="186">
        <v>0.5</v>
      </c>
      <c r="C83" s="187">
        <f t="shared" si="3"/>
        <v>4923.1400000000003</v>
      </c>
      <c r="D83" s="188"/>
      <c r="E83" s="187"/>
      <c r="F83" s="233">
        <v>4923.1400000000003</v>
      </c>
      <c r="G83" s="187">
        <f t="shared" si="1"/>
        <v>29538.840000000004</v>
      </c>
    </row>
    <row r="84" spans="1:7" ht="18" customHeight="1" x14ac:dyDescent="0.3">
      <c r="A84" s="185" t="s">
        <v>305</v>
      </c>
      <c r="B84" s="186">
        <v>0.5</v>
      </c>
      <c r="C84" s="187">
        <f t="shared" si="3"/>
        <v>4923.1400000000003</v>
      </c>
      <c r="D84" s="188"/>
      <c r="E84" s="187"/>
      <c r="F84" s="233">
        <v>4923.1400000000003</v>
      </c>
      <c r="G84" s="187">
        <f t="shared" si="1"/>
        <v>29538.840000000004</v>
      </c>
    </row>
    <row r="85" spans="1:7" ht="18" customHeight="1" x14ac:dyDescent="0.3">
      <c r="A85" s="185" t="s">
        <v>306</v>
      </c>
      <c r="B85" s="186">
        <v>0.5</v>
      </c>
      <c r="C85" s="187">
        <f t="shared" ref="C85:C105" si="4">SUM(D85:F85)</f>
        <v>4923.1400000000003</v>
      </c>
      <c r="D85" s="188"/>
      <c r="E85" s="187"/>
      <c r="F85" s="233">
        <v>4923.1400000000003</v>
      </c>
      <c r="G85" s="187">
        <f t="shared" si="1"/>
        <v>29538.840000000004</v>
      </c>
    </row>
    <row r="86" spans="1:7" ht="18" customHeight="1" x14ac:dyDescent="0.3">
      <c r="A86" s="185" t="s">
        <v>379</v>
      </c>
      <c r="B86" s="186">
        <v>1</v>
      </c>
      <c r="C86" s="187">
        <f>SUM(D86:F86)</f>
        <v>4767.3100000000004</v>
      </c>
      <c r="D86" s="188"/>
      <c r="E86" s="187"/>
      <c r="F86" s="233">
        <v>4767.3100000000004</v>
      </c>
      <c r="G86" s="187">
        <f t="shared" si="1"/>
        <v>57207.72</v>
      </c>
    </row>
    <row r="87" spans="1:7" ht="18" customHeight="1" x14ac:dyDescent="0.3">
      <c r="A87" s="185" t="s">
        <v>308</v>
      </c>
      <c r="B87" s="186">
        <v>1</v>
      </c>
      <c r="C87" s="187">
        <f>SUM(D87:F87)</f>
        <v>4767.3100000000004</v>
      </c>
      <c r="D87" s="188"/>
      <c r="E87" s="187"/>
      <c r="F87" s="233">
        <v>4767.3100000000004</v>
      </c>
      <c r="G87" s="187">
        <f t="shared" si="1"/>
        <v>57207.72</v>
      </c>
    </row>
    <row r="88" spans="1:7" ht="18" customHeight="1" x14ac:dyDescent="0.3">
      <c r="A88" s="196" t="s">
        <v>382</v>
      </c>
      <c r="B88" s="197">
        <v>1</v>
      </c>
      <c r="C88" s="198">
        <f t="shared" ref="C88" si="5">SUM(D88:F88)</f>
        <v>4767.3100000000004</v>
      </c>
      <c r="D88" s="198"/>
      <c r="E88" s="233"/>
      <c r="F88" s="233">
        <v>4767.3100000000004</v>
      </c>
      <c r="G88" s="233">
        <f t="shared" ref="G88" si="6">C88*B88*4</f>
        <v>19069.240000000002</v>
      </c>
    </row>
    <row r="89" spans="1:7" ht="18" customHeight="1" x14ac:dyDescent="0.3">
      <c r="A89" s="185" t="s">
        <v>448</v>
      </c>
      <c r="B89" s="186">
        <v>1</v>
      </c>
      <c r="C89" s="187">
        <f t="shared" si="4"/>
        <v>4785.16</v>
      </c>
      <c r="D89" s="188"/>
      <c r="E89" s="187"/>
      <c r="F89" s="233">
        <v>4785.16</v>
      </c>
      <c r="G89" s="187">
        <f t="shared" si="1"/>
        <v>57421.919999999998</v>
      </c>
    </row>
    <row r="90" spans="1:7" ht="44.4" customHeight="1" x14ac:dyDescent="0.3">
      <c r="A90" s="185" t="s">
        <v>309</v>
      </c>
      <c r="B90" s="186">
        <v>12</v>
      </c>
      <c r="C90" s="187">
        <f t="shared" si="4"/>
        <v>10506.17</v>
      </c>
      <c r="D90" s="188"/>
      <c r="E90" s="187"/>
      <c r="F90" s="233">
        <v>10506.17</v>
      </c>
      <c r="G90" s="187">
        <f t="shared" si="1"/>
        <v>1512888.48</v>
      </c>
    </row>
    <row r="91" spans="1:7" ht="46.95" customHeight="1" x14ac:dyDescent="0.3">
      <c r="A91" s="185" t="s">
        <v>310</v>
      </c>
      <c r="B91" s="186">
        <v>13</v>
      </c>
      <c r="C91" s="187">
        <f t="shared" si="4"/>
        <v>10954.29</v>
      </c>
      <c r="D91" s="188"/>
      <c r="E91" s="187"/>
      <c r="F91" s="233">
        <v>10954.29</v>
      </c>
      <c r="G91" s="187">
        <f t="shared" si="1"/>
        <v>1708869.2400000002</v>
      </c>
    </row>
    <row r="92" spans="1:7" ht="30.6" customHeight="1" x14ac:dyDescent="0.3">
      <c r="A92" s="185" t="s">
        <v>311</v>
      </c>
      <c r="B92" s="186">
        <v>4</v>
      </c>
      <c r="C92" s="187">
        <f t="shared" si="4"/>
        <v>9879.4500000000007</v>
      </c>
      <c r="D92" s="188"/>
      <c r="E92" s="187"/>
      <c r="F92" s="233">
        <v>9879.4500000000007</v>
      </c>
      <c r="G92" s="187">
        <f t="shared" si="1"/>
        <v>474213.60000000003</v>
      </c>
    </row>
    <row r="93" spans="1:7" ht="26.4" x14ac:dyDescent="0.3">
      <c r="A93" s="185" t="s">
        <v>312</v>
      </c>
      <c r="B93" s="186">
        <v>9</v>
      </c>
      <c r="C93" s="187">
        <f t="shared" si="4"/>
        <v>6288.25</v>
      </c>
      <c r="D93" s="188"/>
      <c r="E93" s="187"/>
      <c r="F93" s="233">
        <v>6288.25</v>
      </c>
      <c r="G93" s="187">
        <f t="shared" si="1"/>
        <v>679131</v>
      </c>
    </row>
    <row r="94" spans="1:7" ht="18.600000000000001" customHeight="1" x14ac:dyDescent="0.3">
      <c r="A94" s="189" t="s">
        <v>313</v>
      </c>
      <c r="B94" s="186">
        <v>12</v>
      </c>
      <c r="C94" s="187">
        <f t="shared" si="4"/>
        <v>6548.52</v>
      </c>
      <c r="D94" s="188"/>
      <c r="E94" s="187"/>
      <c r="F94" s="233">
        <v>6548.52</v>
      </c>
      <c r="G94" s="187">
        <f t="shared" si="1"/>
        <v>942986.88000000012</v>
      </c>
    </row>
    <row r="95" spans="1:7" ht="28.2" customHeight="1" x14ac:dyDescent="0.3">
      <c r="A95" s="185" t="s">
        <v>314</v>
      </c>
      <c r="B95" s="186">
        <v>4</v>
      </c>
      <c r="C95" s="187">
        <f t="shared" si="4"/>
        <v>6573.98</v>
      </c>
      <c r="D95" s="188"/>
      <c r="E95" s="187"/>
      <c r="F95" s="233">
        <v>6573.98</v>
      </c>
      <c r="G95" s="187">
        <f t="shared" si="1"/>
        <v>315551.03999999998</v>
      </c>
    </row>
    <row r="96" spans="1:7" ht="28.2" customHeight="1" x14ac:dyDescent="0.3">
      <c r="A96" s="185" t="s">
        <v>315</v>
      </c>
      <c r="B96" s="186">
        <v>7</v>
      </c>
      <c r="C96" s="187">
        <f t="shared" si="4"/>
        <v>6775.12</v>
      </c>
      <c r="D96" s="188"/>
      <c r="E96" s="187"/>
      <c r="F96" s="233">
        <v>6775.12</v>
      </c>
      <c r="G96" s="187">
        <f t="shared" si="1"/>
        <v>569110.07999999996</v>
      </c>
    </row>
    <row r="97" spans="1:7" ht="29.25" customHeight="1" x14ac:dyDescent="0.3">
      <c r="A97" s="185" t="s">
        <v>316</v>
      </c>
      <c r="B97" s="186">
        <v>8</v>
      </c>
      <c r="C97" s="187">
        <f t="shared" si="4"/>
        <v>6938.52</v>
      </c>
      <c r="D97" s="188"/>
      <c r="E97" s="187"/>
      <c r="F97" s="233">
        <v>6938.52</v>
      </c>
      <c r="G97" s="187">
        <f t="shared" si="1"/>
        <v>666097.92000000004</v>
      </c>
    </row>
    <row r="98" spans="1:7" ht="25.95" customHeight="1" x14ac:dyDescent="0.3">
      <c r="A98" s="185" t="s">
        <v>317</v>
      </c>
      <c r="B98" s="186">
        <v>16</v>
      </c>
      <c r="C98" s="187">
        <f t="shared" si="4"/>
        <v>5954.43</v>
      </c>
      <c r="D98" s="188"/>
      <c r="E98" s="187"/>
      <c r="F98" s="233">
        <v>5954.43</v>
      </c>
      <c r="G98" s="187">
        <f t="shared" si="1"/>
        <v>1143250.56</v>
      </c>
    </row>
    <row r="99" spans="1:7" ht="28.2" customHeight="1" x14ac:dyDescent="0.3">
      <c r="A99" s="185" t="s">
        <v>318</v>
      </c>
      <c r="B99" s="186">
        <v>7</v>
      </c>
      <c r="C99" s="187">
        <f t="shared" si="4"/>
        <v>3925.57</v>
      </c>
      <c r="D99" s="188"/>
      <c r="E99" s="187"/>
      <c r="F99" s="233">
        <v>3925.57</v>
      </c>
      <c r="G99" s="187">
        <f t="shared" si="1"/>
        <v>329747.88</v>
      </c>
    </row>
    <row r="100" spans="1:7" ht="28.2" customHeight="1" x14ac:dyDescent="0.3">
      <c r="A100" s="185" t="s">
        <v>319</v>
      </c>
      <c r="B100" s="186">
        <v>6</v>
      </c>
      <c r="C100" s="187">
        <f t="shared" si="4"/>
        <v>3755.43</v>
      </c>
      <c r="D100" s="188"/>
      <c r="E100" s="187"/>
      <c r="F100" s="233">
        <v>3755.43</v>
      </c>
      <c r="G100" s="187">
        <f t="shared" si="1"/>
        <v>270390.95999999996</v>
      </c>
    </row>
    <row r="101" spans="1:7" ht="43.95" customHeight="1" x14ac:dyDescent="0.3">
      <c r="A101" s="185" t="s">
        <v>320</v>
      </c>
      <c r="B101" s="186">
        <v>1</v>
      </c>
      <c r="C101" s="187">
        <f t="shared" si="4"/>
        <v>2903.54</v>
      </c>
      <c r="D101" s="188"/>
      <c r="E101" s="187"/>
      <c r="F101" s="233">
        <v>2903.54</v>
      </c>
      <c r="G101" s="187">
        <f t="shared" si="1"/>
        <v>34842.479999999996</v>
      </c>
    </row>
    <row r="102" spans="1:7" ht="18.600000000000001" customHeight="1" x14ac:dyDescent="0.3">
      <c r="A102" s="189" t="s">
        <v>321</v>
      </c>
      <c r="B102" s="186">
        <v>1</v>
      </c>
      <c r="C102" s="187">
        <f t="shared" si="4"/>
        <v>2865.98</v>
      </c>
      <c r="D102" s="188"/>
      <c r="E102" s="187"/>
      <c r="F102" s="233">
        <v>2865.98</v>
      </c>
      <c r="G102" s="187">
        <f t="shared" si="1"/>
        <v>34391.760000000002</v>
      </c>
    </row>
    <row r="103" spans="1:7" ht="15" customHeight="1" x14ac:dyDescent="0.3">
      <c r="A103" s="189" t="s">
        <v>322</v>
      </c>
      <c r="B103" s="186">
        <v>2</v>
      </c>
      <c r="C103" s="187">
        <f t="shared" si="4"/>
        <v>2756.21</v>
      </c>
      <c r="D103" s="188"/>
      <c r="E103" s="187"/>
      <c r="F103" s="233">
        <v>2756.21</v>
      </c>
      <c r="G103" s="187">
        <f t="shared" si="1"/>
        <v>66149.040000000008</v>
      </c>
    </row>
    <row r="104" spans="1:7" ht="15" customHeight="1" x14ac:dyDescent="0.3">
      <c r="A104" s="189" t="s">
        <v>323</v>
      </c>
      <c r="B104" s="186">
        <v>1</v>
      </c>
      <c r="C104" s="187">
        <f t="shared" si="4"/>
        <v>2738.54</v>
      </c>
      <c r="D104" s="188"/>
      <c r="E104" s="187"/>
      <c r="F104" s="233">
        <v>2738.54</v>
      </c>
      <c r="G104" s="187">
        <f t="shared" si="1"/>
        <v>32862.479999999996</v>
      </c>
    </row>
    <row r="105" spans="1:7" ht="28.95" customHeight="1" x14ac:dyDescent="0.3">
      <c r="A105" s="185" t="s">
        <v>324</v>
      </c>
      <c r="B105" s="186">
        <v>1</v>
      </c>
      <c r="C105" s="233">
        <f t="shared" si="4"/>
        <v>2688.97</v>
      </c>
      <c r="D105" s="188"/>
      <c r="E105" s="233"/>
      <c r="F105" s="233">
        <f>2326.97+362</f>
        <v>2688.97</v>
      </c>
      <c r="G105" s="233">
        <f t="shared" si="1"/>
        <v>32267.64</v>
      </c>
    </row>
    <row r="106" spans="1:7" ht="15" customHeight="1" x14ac:dyDescent="0.3">
      <c r="A106" s="189" t="s">
        <v>325</v>
      </c>
      <c r="B106" s="186">
        <v>2</v>
      </c>
      <c r="C106" s="187">
        <f t="shared" ref="C106:C116" si="7">SUM(D106:F106)</f>
        <v>2802.45</v>
      </c>
      <c r="D106" s="188"/>
      <c r="E106" s="187"/>
      <c r="F106" s="233">
        <v>2802.45</v>
      </c>
      <c r="G106" s="187">
        <f t="shared" si="1"/>
        <v>67258.799999999988</v>
      </c>
    </row>
    <row r="107" spans="1:7" ht="15" customHeight="1" x14ac:dyDescent="0.3">
      <c r="A107" s="189" t="s">
        <v>327</v>
      </c>
      <c r="B107" s="186">
        <v>1</v>
      </c>
      <c r="C107" s="187">
        <f t="shared" si="7"/>
        <v>2859.87</v>
      </c>
      <c r="D107" s="188"/>
      <c r="E107" s="187"/>
      <c r="F107" s="233">
        <v>2859.87</v>
      </c>
      <c r="G107" s="187">
        <f t="shared" si="1"/>
        <v>34318.44</v>
      </c>
    </row>
    <row r="108" spans="1:7" ht="15" customHeight="1" x14ac:dyDescent="0.3">
      <c r="A108" s="189" t="s">
        <v>328</v>
      </c>
      <c r="B108" s="186">
        <v>4</v>
      </c>
      <c r="C108" s="187">
        <f t="shared" si="7"/>
        <v>2839.36</v>
      </c>
      <c r="D108" s="188"/>
      <c r="E108" s="187"/>
      <c r="F108" s="233">
        <v>2839.36</v>
      </c>
      <c r="G108" s="187">
        <f t="shared" si="1"/>
        <v>136289.28</v>
      </c>
    </row>
    <row r="109" spans="1:7" ht="31.2" customHeight="1" x14ac:dyDescent="0.3">
      <c r="A109" s="185" t="s">
        <v>329</v>
      </c>
      <c r="B109" s="186">
        <v>1</v>
      </c>
      <c r="C109" s="187">
        <f t="shared" si="7"/>
        <v>2873.54</v>
      </c>
      <c r="D109" s="188"/>
      <c r="E109" s="187"/>
      <c r="F109" s="233">
        <v>2873.54</v>
      </c>
      <c r="G109" s="187">
        <f t="shared" si="1"/>
        <v>34482.479999999996</v>
      </c>
    </row>
    <row r="110" spans="1:7" ht="15" customHeight="1" x14ac:dyDescent="0.3">
      <c r="A110" s="189" t="s">
        <v>330</v>
      </c>
      <c r="B110" s="186">
        <v>2.5</v>
      </c>
      <c r="C110" s="187">
        <f t="shared" si="7"/>
        <v>2720.36</v>
      </c>
      <c r="D110" s="188"/>
      <c r="E110" s="187"/>
      <c r="F110" s="233">
        <v>2720.36</v>
      </c>
      <c r="G110" s="187">
        <f t="shared" si="1"/>
        <v>81610.8</v>
      </c>
    </row>
    <row r="111" spans="1:7" ht="26.4" x14ac:dyDescent="0.3">
      <c r="A111" s="185" t="s">
        <v>331</v>
      </c>
      <c r="B111" s="186">
        <v>1</v>
      </c>
      <c r="C111" s="187">
        <f t="shared" si="7"/>
        <v>2873.54</v>
      </c>
      <c r="D111" s="188"/>
      <c r="E111" s="187"/>
      <c r="F111" s="233">
        <v>2873.54</v>
      </c>
      <c r="G111" s="187">
        <f t="shared" si="1"/>
        <v>34482.479999999996</v>
      </c>
    </row>
    <row r="112" spans="1:7" x14ac:dyDescent="0.3">
      <c r="A112" s="185" t="s">
        <v>332</v>
      </c>
      <c r="B112" s="186">
        <v>1</v>
      </c>
      <c r="C112" s="233">
        <f t="shared" si="7"/>
        <v>2773.54</v>
      </c>
      <c r="D112" s="188"/>
      <c r="E112" s="233"/>
      <c r="F112" s="233">
        <v>2773.54</v>
      </c>
      <c r="G112" s="233">
        <f t="shared" si="1"/>
        <v>33282.479999999996</v>
      </c>
    </row>
    <row r="113" spans="1:7" ht="15.6" customHeight="1" x14ac:dyDescent="0.3">
      <c r="A113" s="189" t="s">
        <v>333</v>
      </c>
      <c r="B113" s="186">
        <v>2</v>
      </c>
      <c r="C113" s="187">
        <f t="shared" si="7"/>
        <v>2670.36</v>
      </c>
      <c r="D113" s="188"/>
      <c r="E113" s="187"/>
      <c r="F113" s="233">
        <v>2670.36</v>
      </c>
      <c r="G113" s="187">
        <f t="shared" si="1"/>
        <v>64088.639999999999</v>
      </c>
    </row>
    <row r="114" spans="1:7" ht="15.6" customHeight="1" x14ac:dyDescent="0.3">
      <c r="A114" s="189" t="s">
        <v>334</v>
      </c>
      <c r="B114" s="186">
        <v>2</v>
      </c>
      <c r="C114" s="187">
        <f t="shared" si="7"/>
        <v>2659.36</v>
      </c>
      <c r="D114" s="188"/>
      <c r="E114" s="187"/>
      <c r="F114" s="233">
        <v>2659.36</v>
      </c>
      <c r="G114" s="187">
        <f t="shared" si="1"/>
        <v>63824.639999999999</v>
      </c>
    </row>
    <row r="115" spans="1:7" ht="15.6" customHeight="1" x14ac:dyDescent="0.3">
      <c r="A115" s="189" t="s">
        <v>335</v>
      </c>
      <c r="B115" s="186">
        <v>2</v>
      </c>
      <c r="C115" s="187">
        <f t="shared" si="7"/>
        <v>2623.04</v>
      </c>
      <c r="D115" s="188"/>
      <c r="E115" s="187"/>
      <c r="F115" s="233">
        <v>2623.04</v>
      </c>
      <c r="G115" s="187">
        <f>C115*1*12</f>
        <v>31476.48</v>
      </c>
    </row>
    <row r="116" spans="1:7" ht="15.6" customHeight="1" x14ac:dyDescent="0.3">
      <c r="A116" s="189" t="s">
        <v>449</v>
      </c>
      <c r="B116" s="186">
        <v>1</v>
      </c>
      <c r="C116" s="233">
        <f t="shared" si="7"/>
        <v>2623.04</v>
      </c>
      <c r="D116" s="188"/>
      <c r="E116" s="233"/>
      <c r="F116" s="233">
        <v>2623.04</v>
      </c>
      <c r="G116" s="233">
        <f t="shared" si="1"/>
        <v>31476.48</v>
      </c>
    </row>
    <row r="117" spans="1:7" ht="39.6" x14ac:dyDescent="0.3">
      <c r="A117" s="185" t="s">
        <v>336</v>
      </c>
      <c r="B117" s="186">
        <v>1</v>
      </c>
      <c r="C117" s="187">
        <f>SUM(D117:F117)</f>
        <v>2893.54</v>
      </c>
      <c r="D117" s="188"/>
      <c r="E117" s="187"/>
      <c r="F117" s="233">
        <v>2893.54</v>
      </c>
      <c r="G117" s="187">
        <f>C117*B117*12</f>
        <v>34722.479999999996</v>
      </c>
    </row>
    <row r="118" spans="1:7" x14ac:dyDescent="0.3">
      <c r="A118" s="189" t="s">
        <v>337</v>
      </c>
      <c r="B118" s="186">
        <v>2</v>
      </c>
      <c r="C118" s="187">
        <f>SUM(D118:F118)</f>
        <v>2828.12</v>
      </c>
      <c r="D118" s="188"/>
      <c r="E118" s="187"/>
      <c r="F118" s="233">
        <v>2828.12</v>
      </c>
      <c r="G118" s="187">
        <f>C118*B118*12</f>
        <v>67874.880000000005</v>
      </c>
    </row>
    <row r="119" spans="1:7" x14ac:dyDescent="0.3">
      <c r="A119" s="185" t="s">
        <v>338</v>
      </c>
      <c r="B119" s="186">
        <v>4</v>
      </c>
      <c r="C119" s="187">
        <f>SUM(D119:F119)</f>
        <v>2510.65</v>
      </c>
      <c r="D119" s="188"/>
      <c r="E119" s="187"/>
      <c r="F119" s="233">
        <v>2510.65</v>
      </c>
      <c r="G119" s="187">
        <f>C119*B119*12</f>
        <v>120511.20000000001</v>
      </c>
    </row>
    <row r="120" spans="1:7" x14ac:dyDescent="0.3">
      <c r="A120" s="189" t="s">
        <v>339</v>
      </c>
      <c r="B120" s="186">
        <v>1</v>
      </c>
      <c r="C120" s="187">
        <f>SUM(D120:F120)</f>
        <v>2966.21</v>
      </c>
      <c r="D120" s="188"/>
      <c r="E120" s="187"/>
      <c r="F120" s="233">
        <v>2966.21</v>
      </c>
      <c r="G120" s="187">
        <f>C120*B120*12</f>
        <v>35594.520000000004</v>
      </c>
    </row>
    <row r="121" spans="1:7" x14ac:dyDescent="0.3">
      <c r="A121" s="189" t="s">
        <v>340</v>
      </c>
      <c r="B121" s="186">
        <v>0.5</v>
      </c>
      <c r="C121" s="233">
        <f>SUM(D121:F121)</f>
        <v>2566.21</v>
      </c>
      <c r="D121" s="188"/>
      <c r="E121" s="233"/>
      <c r="F121" s="233">
        <v>2566.21</v>
      </c>
      <c r="G121" s="233">
        <f>C121*B121*12</f>
        <v>15397.26</v>
      </c>
    </row>
    <row r="122" spans="1:7" ht="39.6" x14ac:dyDescent="0.3">
      <c r="A122" s="185" t="s">
        <v>341</v>
      </c>
      <c r="B122" s="186">
        <v>1</v>
      </c>
      <c r="C122" s="187">
        <f t="shared" ref="C122:C132" si="8">SUM(D122:F122)</f>
        <v>2904.95</v>
      </c>
      <c r="D122" s="188"/>
      <c r="E122" s="187"/>
      <c r="F122" s="233">
        <v>2904.95</v>
      </c>
      <c r="G122" s="187">
        <f t="shared" ref="G122:G132" si="9">C122*B122*12</f>
        <v>34859.399999999994</v>
      </c>
    </row>
    <row r="123" spans="1:7" x14ac:dyDescent="0.3">
      <c r="A123" s="189" t="s">
        <v>342</v>
      </c>
      <c r="B123" s="186">
        <v>4</v>
      </c>
      <c r="C123" s="187">
        <f t="shared" si="8"/>
        <v>2896.21</v>
      </c>
      <c r="D123" s="188"/>
      <c r="E123" s="187"/>
      <c r="F123" s="233">
        <v>2896.21</v>
      </c>
      <c r="G123" s="187">
        <f t="shared" si="9"/>
        <v>139018.08000000002</v>
      </c>
    </row>
    <row r="124" spans="1:7" x14ac:dyDescent="0.3">
      <c r="A124" s="189" t="s">
        <v>343</v>
      </c>
      <c r="B124" s="186">
        <v>2</v>
      </c>
      <c r="C124" s="187">
        <f t="shared" si="8"/>
        <v>2856.32</v>
      </c>
      <c r="D124" s="188"/>
      <c r="E124" s="187"/>
      <c r="F124" s="233">
        <v>2856.32</v>
      </c>
      <c r="G124" s="187">
        <f t="shared" si="9"/>
        <v>68551.680000000008</v>
      </c>
    </row>
    <row r="125" spans="1:7" x14ac:dyDescent="0.3">
      <c r="A125" s="189" t="s">
        <v>344</v>
      </c>
      <c r="B125" s="186">
        <v>1.5</v>
      </c>
      <c r="C125" s="187">
        <f t="shared" si="8"/>
        <v>2734.98</v>
      </c>
      <c r="D125" s="188"/>
      <c r="E125" s="187"/>
      <c r="F125" s="233">
        <v>2734.98</v>
      </c>
      <c r="G125" s="187">
        <f t="shared" si="9"/>
        <v>49229.64</v>
      </c>
    </row>
    <row r="126" spans="1:7" ht="25.95" customHeight="1" x14ac:dyDescent="0.3">
      <c r="A126" s="185" t="s">
        <v>345</v>
      </c>
      <c r="B126" s="186">
        <v>1</v>
      </c>
      <c r="C126" s="187">
        <f t="shared" si="8"/>
        <v>2775.68</v>
      </c>
      <c r="D126" s="188"/>
      <c r="E126" s="187"/>
      <c r="F126" s="233">
        <v>2775.68</v>
      </c>
      <c r="G126" s="187">
        <f t="shared" si="9"/>
        <v>33308.159999999996</v>
      </c>
    </row>
    <row r="127" spans="1:7" x14ac:dyDescent="0.3">
      <c r="A127" s="189" t="s">
        <v>346</v>
      </c>
      <c r="B127" s="186">
        <v>1</v>
      </c>
      <c r="C127" s="187">
        <f t="shared" si="8"/>
        <v>2693.54</v>
      </c>
      <c r="D127" s="188"/>
      <c r="E127" s="187"/>
      <c r="F127" s="233">
        <v>2693.54</v>
      </c>
      <c r="G127" s="187">
        <f t="shared" si="9"/>
        <v>32322.48</v>
      </c>
    </row>
    <row r="128" spans="1:7" x14ac:dyDescent="0.3">
      <c r="A128" s="189" t="s">
        <v>347</v>
      </c>
      <c r="B128" s="186">
        <v>1</v>
      </c>
      <c r="C128" s="187">
        <f t="shared" si="8"/>
        <v>2544.75</v>
      </c>
      <c r="D128" s="188"/>
      <c r="E128" s="187"/>
      <c r="F128" s="233">
        <v>2544.75</v>
      </c>
      <c r="G128" s="187">
        <f t="shared" si="9"/>
        <v>30537</v>
      </c>
    </row>
    <row r="129" spans="1:7" x14ac:dyDescent="0.3">
      <c r="A129" s="191" t="s">
        <v>348</v>
      </c>
      <c r="B129" s="186">
        <v>1</v>
      </c>
      <c r="C129" s="187">
        <f t="shared" si="8"/>
        <v>2905.5</v>
      </c>
      <c r="D129" s="188"/>
      <c r="E129" s="187"/>
      <c r="F129" s="233">
        <v>2905.5</v>
      </c>
      <c r="G129" s="187">
        <f t="shared" si="9"/>
        <v>34866</v>
      </c>
    </row>
    <row r="130" spans="1:7" ht="15" customHeight="1" x14ac:dyDescent="0.3">
      <c r="A130" s="189" t="s">
        <v>349</v>
      </c>
      <c r="B130" s="186">
        <v>4</v>
      </c>
      <c r="C130" s="187">
        <f t="shared" si="8"/>
        <v>2729.86</v>
      </c>
      <c r="D130" s="188"/>
      <c r="E130" s="187"/>
      <c r="F130" s="233">
        <v>2729.86</v>
      </c>
      <c r="G130" s="187">
        <f t="shared" si="9"/>
        <v>131033.28</v>
      </c>
    </row>
    <row r="131" spans="1:7" x14ac:dyDescent="0.3">
      <c r="A131" s="189" t="s">
        <v>350</v>
      </c>
      <c r="B131" s="186">
        <v>3</v>
      </c>
      <c r="C131" s="187">
        <f t="shared" si="8"/>
        <v>2368.89</v>
      </c>
      <c r="D131" s="188"/>
      <c r="E131" s="187"/>
      <c r="F131" s="233">
        <v>2368.89</v>
      </c>
      <c r="G131" s="187">
        <f t="shared" si="9"/>
        <v>85280.040000000008</v>
      </c>
    </row>
    <row r="132" spans="1:7" ht="26.4" x14ac:dyDescent="0.3">
      <c r="A132" s="185" t="s">
        <v>386</v>
      </c>
      <c r="B132" s="186">
        <v>10.5</v>
      </c>
      <c r="C132" s="187">
        <f t="shared" si="8"/>
        <v>2224.65</v>
      </c>
      <c r="D132" s="188"/>
      <c r="E132" s="187"/>
      <c r="F132" s="233">
        <v>2224.65</v>
      </c>
      <c r="G132" s="187">
        <f t="shared" si="9"/>
        <v>280305.90000000002</v>
      </c>
    </row>
    <row r="133" spans="1:7" x14ac:dyDescent="0.3">
      <c r="A133" s="189" t="s">
        <v>351</v>
      </c>
      <c r="B133" s="186">
        <v>1.5</v>
      </c>
      <c r="C133" s="187">
        <f t="shared" ref="C133:C140" si="10">SUM(D133:F133)</f>
        <v>2922.58</v>
      </c>
      <c r="D133" s="188"/>
      <c r="E133" s="187"/>
      <c r="F133" s="233">
        <v>2922.58</v>
      </c>
      <c r="G133" s="187">
        <f t="shared" ref="G133:G139" si="11">C133*B133*12</f>
        <v>52606.44</v>
      </c>
    </row>
    <row r="134" spans="1:7" ht="26.4" x14ac:dyDescent="0.3">
      <c r="A134" s="192" t="s">
        <v>352</v>
      </c>
      <c r="B134" s="193">
        <v>1</v>
      </c>
      <c r="C134" s="187">
        <f t="shared" si="10"/>
        <v>2638.86</v>
      </c>
      <c r="D134" s="194"/>
      <c r="E134" s="187"/>
      <c r="F134" s="233">
        <v>2638.86</v>
      </c>
      <c r="G134" s="187">
        <f t="shared" si="11"/>
        <v>31666.32</v>
      </c>
    </row>
    <row r="135" spans="1:7" x14ac:dyDescent="0.3">
      <c r="A135" s="192" t="s">
        <v>353</v>
      </c>
      <c r="B135" s="193">
        <v>1</v>
      </c>
      <c r="C135" s="233">
        <f t="shared" si="10"/>
        <v>2620.56</v>
      </c>
      <c r="D135" s="194"/>
      <c r="E135" s="233"/>
      <c r="F135" s="233">
        <v>2620.56</v>
      </c>
      <c r="G135" s="233">
        <f>C135*B135*12+0.03</f>
        <v>31446.75</v>
      </c>
    </row>
    <row r="136" spans="1:7" x14ac:dyDescent="0.3">
      <c r="A136" s="192" t="s">
        <v>354</v>
      </c>
      <c r="B136" s="193">
        <v>2</v>
      </c>
      <c r="C136" s="233">
        <f t="shared" si="10"/>
        <v>2724.65</v>
      </c>
      <c r="D136" s="194"/>
      <c r="E136" s="233"/>
      <c r="F136" s="233">
        <v>2724.65</v>
      </c>
      <c r="G136" s="233">
        <f t="shared" si="11"/>
        <v>65391.600000000006</v>
      </c>
    </row>
    <row r="137" spans="1:7" x14ac:dyDescent="0.3">
      <c r="A137" s="192" t="s">
        <v>355</v>
      </c>
      <c r="B137" s="193">
        <v>1</v>
      </c>
      <c r="C137" s="233">
        <f t="shared" si="10"/>
        <v>2764.65</v>
      </c>
      <c r="D137" s="194"/>
      <c r="E137" s="233"/>
      <c r="F137" s="233">
        <v>2764.65</v>
      </c>
      <c r="G137" s="233">
        <f t="shared" si="11"/>
        <v>33175.800000000003</v>
      </c>
    </row>
    <row r="138" spans="1:7" ht="15" customHeight="1" x14ac:dyDescent="0.3">
      <c r="A138" s="189" t="s">
        <v>356</v>
      </c>
      <c r="B138" s="186">
        <v>1</v>
      </c>
      <c r="C138" s="187">
        <f t="shared" si="10"/>
        <v>2776.01</v>
      </c>
      <c r="D138" s="188"/>
      <c r="E138" s="187"/>
      <c r="F138" s="233">
        <v>2776.01</v>
      </c>
      <c r="G138" s="187">
        <f t="shared" si="11"/>
        <v>33312.120000000003</v>
      </c>
    </row>
    <row r="139" spans="1:7" x14ac:dyDescent="0.3">
      <c r="A139" s="189" t="s">
        <v>357</v>
      </c>
      <c r="B139" s="186">
        <v>3</v>
      </c>
      <c r="C139" s="187">
        <f t="shared" si="10"/>
        <v>2726.47</v>
      </c>
      <c r="D139" s="188"/>
      <c r="E139" s="187"/>
      <c r="F139" s="233">
        <v>2726.47</v>
      </c>
      <c r="G139" s="187">
        <f t="shared" si="11"/>
        <v>98152.92</v>
      </c>
    </row>
    <row r="140" spans="1:7" x14ac:dyDescent="0.3">
      <c r="A140" s="189" t="s">
        <v>380</v>
      </c>
      <c r="B140" s="186">
        <v>1</v>
      </c>
      <c r="C140" s="187">
        <f t="shared" si="10"/>
        <v>2793.56</v>
      </c>
      <c r="D140" s="188"/>
      <c r="E140" s="187"/>
      <c r="F140" s="233">
        <v>2793.56</v>
      </c>
      <c r="G140" s="187">
        <f>C140*B140*12</f>
        <v>33522.720000000001</v>
      </c>
    </row>
    <row r="141" spans="1:7" ht="17.399999999999999" customHeight="1" x14ac:dyDescent="0.3">
      <c r="A141" s="236" t="s">
        <v>361</v>
      </c>
      <c r="B141" s="237">
        <f>SUM(B48:B140)</f>
        <v>222</v>
      </c>
      <c r="C141" s="514"/>
      <c r="D141" s="514"/>
      <c r="E141" s="514"/>
      <c r="F141" s="514"/>
      <c r="G141" s="238">
        <f>SUM(G48:G140)</f>
        <v>13818128.890000004</v>
      </c>
    </row>
    <row r="142" spans="1:7" ht="17.399999999999999" customHeight="1" x14ac:dyDescent="0.3">
      <c r="A142" s="189" t="s">
        <v>450</v>
      </c>
      <c r="B142" s="195">
        <v>1</v>
      </c>
      <c r="C142" s="233">
        <f>SUM(D142:F142)</f>
        <v>16080.79</v>
      </c>
      <c r="D142" s="233">
        <v>12760</v>
      </c>
      <c r="E142" s="233"/>
      <c r="F142" s="233">
        <v>3320.79</v>
      </c>
      <c r="G142" s="199">
        <f>C142*B142*12</f>
        <v>192969.48</v>
      </c>
    </row>
    <row r="143" spans="1:7" ht="41.4" x14ac:dyDescent="0.3">
      <c r="A143" s="196" t="s">
        <v>381</v>
      </c>
      <c r="B143" s="197">
        <v>3</v>
      </c>
      <c r="C143" s="187">
        <f t="shared" ref="C143:C147" si="12">SUM(D143:F143)</f>
        <v>13890</v>
      </c>
      <c r="D143" s="187"/>
      <c r="E143" s="187"/>
      <c r="F143" s="233">
        <v>13890</v>
      </c>
      <c r="G143" s="187">
        <f>B143*C143*4</f>
        <v>166680</v>
      </c>
    </row>
    <row r="144" spans="1:7" x14ac:dyDescent="0.3">
      <c r="A144" s="196" t="s">
        <v>354</v>
      </c>
      <c r="B144" s="197">
        <v>1</v>
      </c>
      <c r="C144" s="198">
        <f t="shared" si="12"/>
        <v>13792</v>
      </c>
      <c r="D144" s="198">
        <v>10770</v>
      </c>
      <c r="E144" s="187"/>
      <c r="F144" s="233">
        <v>3022</v>
      </c>
      <c r="G144" s="187">
        <f>C144*B144*4</f>
        <v>55168</v>
      </c>
    </row>
    <row r="145" spans="1:8" x14ac:dyDescent="0.3">
      <c r="A145" s="196" t="s">
        <v>383</v>
      </c>
      <c r="B145" s="197">
        <v>0.5</v>
      </c>
      <c r="C145" s="198">
        <f t="shared" si="12"/>
        <v>13792</v>
      </c>
      <c r="D145" s="198">
        <v>10310</v>
      </c>
      <c r="E145" s="187"/>
      <c r="F145" s="187">
        <v>3482</v>
      </c>
      <c r="G145" s="187">
        <f t="shared" ref="G145:G147" si="13">C145*B145*4</f>
        <v>27584</v>
      </c>
    </row>
    <row r="146" spans="1:8" ht="41.4" x14ac:dyDescent="0.3">
      <c r="A146" s="196" t="s">
        <v>384</v>
      </c>
      <c r="B146" s="197">
        <v>1</v>
      </c>
      <c r="C146" s="198">
        <f t="shared" si="12"/>
        <v>14792</v>
      </c>
      <c r="D146" s="198">
        <v>11240</v>
      </c>
      <c r="E146" s="187"/>
      <c r="F146" s="187">
        <v>3552</v>
      </c>
      <c r="G146" s="187">
        <f t="shared" si="13"/>
        <v>59168</v>
      </c>
    </row>
    <row r="147" spans="1:8" ht="41.4" x14ac:dyDescent="0.3">
      <c r="A147" s="196" t="s">
        <v>385</v>
      </c>
      <c r="B147" s="197">
        <v>1</v>
      </c>
      <c r="C147" s="198">
        <f t="shared" si="12"/>
        <v>14792</v>
      </c>
      <c r="D147" s="198">
        <v>11240</v>
      </c>
      <c r="E147" s="187"/>
      <c r="F147" s="187">
        <v>3552</v>
      </c>
      <c r="G147" s="187">
        <f t="shared" si="13"/>
        <v>59168</v>
      </c>
    </row>
    <row r="148" spans="1:8" ht="15.6" customHeight="1" x14ac:dyDescent="0.3">
      <c r="A148" s="236" t="s">
        <v>361</v>
      </c>
      <c r="B148" s="237">
        <f>SUM(B142:B147)</f>
        <v>7.5</v>
      </c>
      <c r="C148" s="239"/>
      <c r="D148" s="239"/>
      <c r="E148" s="239"/>
      <c r="F148" s="239"/>
      <c r="G148" s="238">
        <f>SUM(G142:G147)</f>
        <v>560737.48</v>
      </c>
    </row>
    <row r="149" spans="1:8" ht="0.75" customHeight="1" x14ac:dyDescent="0.3">
      <c r="A149" s="189" t="s">
        <v>1</v>
      </c>
      <c r="B149" s="195">
        <f>B141+B148</f>
        <v>229.5</v>
      </c>
      <c r="C149" s="195"/>
      <c r="D149" s="195"/>
      <c r="E149" s="195"/>
      <c r="F149" s="195"/>
      <c r="G149" s="199">
        <f>G141+G148</f>
        <v>14378866.370000005</v>
      </c>
    </row>
    <row r="150" spans="1:8" ht="11.25" customHeight="1" x14ac:dyDescent="0.3">
      <c r="A150" s="156" t="s">
        <v>145</v>
      </c>
      <c r="B150" s="156"/>
      <c r="C150" s="155"/>
      <c r="D150" s="155"/>
      <c r="E150" s="155"/>
      <c r="F150" s="155"/>
      <c r="G150" s="179">
        <f>'платные на 2022 год '!D31+'платные на 2022 год '!D68</f>
        <v>14378866.369999999</v>
      </c>
      <c r="H150" s="44"/>
    </row>
    <row r="151" spans="1:8" ht="12" customHeight="1" x14ac:dyDescent="0.3">
      <c r="A151" s="6"/>
    </row>
    <row r="152" spans="1:8" ht="17.399999999999999" x14ac:dyDescent="0.3">
      <c r="A152" s="415" t="s">
        <v>179</v>
      </c>
      <c r="B152" s="415"/>
      <c r="C152" s="415"/>
      <c r="D152" s="415"/>
      <c r="E152" s="415"/>
      <c r="F152" s="415"/>
      <c r="G152" s="415"/>
    </row>
    <row r="153" spans="1:8" ht="17.399999999999999" x14ac:dyDescent="0.3">
      <c r="A153" s="60"/>
      <c r="B153" s="60"/>
      <c r="C153" s="60"/>
      <c r="D153" s="60"/>
      <c r="E153" s="60"/>
      <c r="F153" s="60"/>
      <c r="G153" s="60"/>
    </row>
    <row r="154" spans="1:8" ht="18" customHeight="1" x14ac:dyDescent="0.35">
      <c r="A154" s="7" t="s">
        <v>144</v>
      </c>
      <c r="B154" s="8">
        <v>119</v>
      </c>
    </row>
    <row r="155" spans="1:8" ht="15" x14ac:dyDescent="0.3">
      <c r="A155" s="9"/>
    </row>
    <row r="156" spans="1:8" ht="36" customHeight="1" x14ac:dyDescent="0.3">
      <c r="A156" s="416" t="s">
        <v>83</v>
      </c>
      <c r="B156" s="416" t="s">
        <v>243</v>
      </c>
      <c r="C156" s="416"/>
      <c r="D156" s="416" t="s">
        <v>184</v>
      </c>
      <c r="E156" s="416"/>
      <c r="F156" s="416" t="s">
        <v>84</v>
      </c>
      <c r="G156" s="416"/>
    </row>
    <row r="157" spans="1:8" ht="15" customHeight="1" x14ac:dyDescent="0.3">
      <c r="A157" s="416"/>
      <c r="B157" s="416"/>
      <c r="C157" s="416"/>
      <c r="D157" s="416"/>
      <c r="E157" s="416"/>
      <c r="F157" s="416"/>
      <c r="G157" s="416"/>
    </row>
    <row r="158" spans="1:8" ht="18" x14ac:dyDescent="0.3">
      <c r="A158" s="62">
        <v>1</v>
      </c>
      <c r="B158" s="416">
        <v>2</v>
      </c>
      <c r="C158" s="416"/>
      <c r="D158" s="416">
        <v>3</v>
      </c>
      <c r="E158" s="416"/>
      <c r="F158" s="416">
        <v>4</v>
      </c>
      <c r="G158" s="416"/>
    </row>
    <row r="159" spans="1:8" ht="18" x14ac:dyDescent="0.3">
      <c r="A159" s="298">
        <v>7.5</v>
      </c>
      <c r="B159" s="452">
        <f>D159+F159</f>
        <v>729030.74896</v>
      </c>
      <c r="C159" s="453"/>
      <c r="D159" s="452">
        <f>G148</f>
        <v>560737.48</v>
      </c>
      <c r="E159" s="453"/>
      <c r="F159" s="452">
        <f>(D159-3475)*30.2%</f>
        <v>168293.26895999999</v>
      </c>
      <c r="G159" s="453"/>
    </row>
    <row r="160" spans="1:8" ht="18" x14ac:dyDescent="0.3">
      <c r="A160" s="298">
        <v>222</v>
      </c>
      <c r="B160" s="452">
        <f>D160+F160</f>
        <v>17984703.264780007</v>
      </c>
      <c r="C160" s="453"/>
      <c r="D160" s="452">
        <f>G141</f>
        <v>13818128.890000004</v>
      </c>
      <c r="E160" s="453"/>
      <c r="F160" s="452">
        <f>(D160-21525)*30.2%</f>
        <v>4166574.3747800011</v>
      </c>
      <c r="G160" s="453"/>
    </row>
    <row r="161" spans="1:7" ht="20.399999999999999" customHeight="1" x14ac:dyDescent="0.3">
      <c r="A161" s="298">
        <v>229.5</v>
      </c>
      <c r="B161" s="417">
        <f>'платные на 2022 год '!D68+'платные на 2022 год '!D31+'платные на 2022 год '!D33</f>
        <v>18673584.289999999</v>
      </c>
      <c r="C161" s="417"/>
      <c r="D161" s="417">
        <f>G150</f>
        <v>14378866.369999999</v>
      </c>
      <c r="E161" s="417"/>
      <c r="F161" s="417">
        <f>B161-D161</f>
        <v>4294717.92</v>
      </c>
      <c r="G161" s="417"/>
    </row>
    <row r="162" spans="1:7" ht="17.399999999999999" x14ac:dyDescent="0.3">
      <c r="A162" s="6"/>
    </row>
    <row r="163" spans="1:7" ht="37.200000000000003" customHeight="1" x14ac:dyDescent="0.3">
      <c r="A163" s="424" t="s">
        <v>202</v>
      </c>
      <c r="B163" s="424"/>
      <c r="C163" s="424"/>
      <c r="D163" s="424"/>
      <c r="E163" s="424"/>
      <c r="F163" s="424"/>
      <c r="G163" s="424"/>
    </row>
    <row r="164" spans="1:7" ht="18" x14ac:dyDescent="0.3">
      <c r="A164" s="7"/>
    </row>
    <row r="165" spans="1:7" ht="15" customHeight="1" x14ac:dyDescent="0.35">
      <c r="A165" s="7" t="s">
        <v>146</v>
      </c>
      <c r="B165" s="8">
        <v>112</v>
      </c>
    </row>
    <row r="166" spans="1:7" ht="15" x14ac:dyDescent="0.3">
      <c r="A166" s="9"/>
    </row>
    <row r="167" spans="1:7" ht="54" x14ac:dyDescent="0.3">
      <c r="A167" s="62" t="s">
        <v>85</v>
      </c>
      <c r="B167" s="62" t="s">
        <v>86</v>
      </c>
      <c r="C167" s="416" t="s">
        <v>87</v>
      </c>
      <c r="D167" s="416"/>
      <c r="E167" s="62" t="s">
        <v>88</v>
      </c>
      <c r="F167" s="416" t="s">
        <v>89</v>
      </c>
      <c r="G167" s="416"/>
    </row>
    <row r="168" spans="1:7" ht="18.600000000000001" customHeight="1" x14ac:dyDescent="0.3">
      <c r="A168" s="62">
        <v>1</v>
      </c>
      <c r="B168" s="62">
        <v>2</v>
      </c>
      <c r="C168" s="416">
        <v>3</v>
      </c>
      <c r="D168" s="416"/>
      <c r="E168" s="62">
        <v>4</v>
      </c>
      <c r="F168" s="416">
        <v>5</v>
      </c>
      <c r="G168" s="416"/>
    </row>
    <row r="169" spans="1:7" ht="18" customHeight="1" x14ac:dyDescent="0.3">
      <c r="A169" s="11" t="s">
        <v>90</v>
      </c>
      <c r="B169" s="117">
        <v>33</v>
      </c>
      <c r="C169" s="416">
        <v>300</v>
      </c>
      <c r="D169" s="416"/>
      <c r="E169" s="117">
        <v>5</v>
      </c>
      <c r="F169" s="417">
        <f>'платные на 2022 год '!D32</f>
        <v>18300</v>
      </c>
      <c r="G169" s="417"/>
    </row>
    <row r="170" spans="1:7" ht="18" customHeight="1" x14ac:dyDescent="0.3">
      <c r="A170" s="6"/>
    </row>
    <row r="171" spans="1:7" ht="36" customHeight="1" x14ac:dyDescent="0.3">
      <c r="A171" s="424" t="s">
        <v>226</v>
      </c>
      <c r="B171" s="424"/>
      <c r="C171" s="424"/>
      <c r="D171" s="424"/>
      <c r="E171" s="424"/>
      <c r="F171" s="424"/>
      <c r="G171" s="424"/>
    </row>
    <row r="172" spans="1:7" ht="17.399999999999999" customHeight="1" x14ac:dyDescent="0.3">
      <c r="A172" s="7"/>
    </row>
    <row r="173" spans="1:7" ht="18" customHeight="1" x14ac:dyDescent="0.3">
      <c r="A173" s="7" t="s">
        <v>146</v>
      </c>
      <c r="B173" s="7">
        <v>112</v>
      </c>
    </row>
    <row r="174" spans="1:7" ht="17.399999999999999" customHeight="1" x14ac:dyDescent="0.3">
      <c r="A174" s="9"/>
    </row>
    <row r="175" spans="1:7" ht="37.200000000000003" customHeight="1" x14ac:dyDescent="0.3">
      <c r="A175" s="408" t="s">
        <v>85</v>
      </c>
      <c r="B175" s="410"/>
      <c r="C175" s="115" t="s">
        <v>227</v>
      </c>
      <c r="D175" s="408" t="s">
        <v>228</v>
      </c>
      <c r="E175" s="410"/>
      <c r="F175" s="416" t="s">
        <v>93</v>
      </c>
      <c r="G175" s="416"/>
    </row>
    <row r="176" spans="1:7" ht="16.95" customHeight="1" x14ac:dyDescent="0.3">
      <c r="A176" s="408">
        <v>1</v>
      </c>
      <c r="B176" s="410"/>
      <c r="C176" s="115">
        <v>2</v>
      </c>
      <c r="D176" s="408">
        <v>3</v>
      </c>
      <c r="E176" s="410"/>
      <c r="F176" s="416">
        <v>4</v>
      </c>
      <c r="G176" s="416"/>
    </row>
    <row r="177" spans="1:7" ht="37.5" customHeight="1" x14ac:dyDescent="0.3">
      <c r="A177" s="411" t="s">
        <v>387</v>
      </c>
      <c r="B177" s="411"/>
      <c r="C177" s="115">
        <v>294</v>
      </c>
      <c r="D177" s="416">
        <v>948.2</v>
      </c>
      <c r="E177" s="416"/>
      <c r="F177" s="417">
        <f>C177*D177+0.2</f>
        <v>278771</v>
      </c>
      <c r="G177" s="417"/>
    </row>
    <row r="178" spans="1:7" ht="51.6" customHeight="1" x14ac:dyDescent="0.3">
      <c r="A178" s="411" t="s">
        <v>388</v>
      </c>
      <c r="B178" s="411"/>
      <c r="C178" s="115">
        <v>103</v>
      </c>
      <c r="D178" s="416">
        <v>395.04849999999999</v>
      </c>
      <c r="E178" s="416"/>
      <c r="F178" s="417">
        <f>C178*D178</f>
        <v>40689.995499999997</v>
      </c>
      <c r="G178" s="417"/>
    </row>
    <row r="179" spans="1:7" ht="18" customHeight="1" x14ac:dyDescent="0.3">
      <c r="A179" s="411" t="s">
        <v>361</v>
      </c>
      <c r="B179" s="411"/>
      <c r="C179" s="115"/>
      <c r="D179" s="416"/>
      <c r="E179" s="416"/>
      <c r="F179" s="417">
        <f>'платные на 2022 год '!D35</f>
        <v>319461</v>
      </c>
      <c r="G179" s="417"/>
    </row>
    <row r="180" spans="1:7" ht="18.600000000000001" customHeight="1" x14ac:dyDescent="0.3">
      <c r="A180" s="17"/>
      <c r="B180" s="17"/>
      <c r="C180" s="17"/>
      <c r="D180" s="17"/>
      <c r="E180" s="17"/>
      <c r="F180" s="75"/>
      <c r="G180" s="75"/>
    </row>
    <row r="181" spans="1:7" ht="18.600000000000001" customHeight="1" x14ac:dyDescent="0.3">
      <c r="A181" s="17"/>
      <c r="B181" s="17"/>
      <c r="C181" s="17"/>
      <c r="D181" s="17"/>
      <c r="E181" s="17"/>
      <c r="F181" s="305"/>
      <c r="G181" s="305"/>
    </row>
    <row r="182" spans="1:7" ht="18.600000000000001" customHeight="1" x14ac:dyDescent="0.3">
      <c r="A182" s="17"/>
      <c r="B182" s="17"/>
      <c r="C182" s="17"/>
      <c r="D182" s="17"/>
      <c r="E182" s="17"/>
      <c r="F182" s="305"/>
      <c r="G182" s="305"/>
    </row>
    <row r="183" spans="1:7" ht="37.950000000000003" customHeight="1" x14ac:dyDescent="0.3">
      <c r="A183" s="424" t="s">
        <v>438</v>
      </c>
      <c r="B183" s="424"/>
      <c r="C183" s="424"/>
      <c r="D183" s="424"/>
      <c r="E183" s="424"/>
      <c r="F183" s="424"/>
      <c r="G183" s="424"/>
    </row>
    <row r="184" spans="1:7" ht="14.25" customHeight="1" x14ac:dyDescent="0.3">
      <c r="A184" s="63"/>
      <c r="B184" s="63"/>
      <c r="C184" s="63"/>
      <c r="D184" s="63"/>
      <c r="E184" s="63"/>
      <c r="F184" s="63"/>
      <c r="G184" s="63"/>
    </row>
    <row r="185" spans="1:7" ht="18" customHeight="1" x14ac:dyDescent="0.35">
      <c r="A185" s="7" t="s">
        <v>146</v>
      </c>
      <c r="B185" s="8">
        <v>112</v>
      </c>
    </row>
    <row r="186" spans="1:7" ht="17.399999999999999" customHeight="1" x14ac:dyDescent="0.3">
      <c r="A186" s="9"/>
    </row>
    <row r="187" spans="1:7" ht="52.95" customHeight="1" x14ac:dyDescent="0.3">
      <c r="A187" s="62" t="s">
        <v>85</v>
      </c>
      <c r="B187" s="62" t="s">
        <v>86</v>
      </c>
      <c r="C187" s="416" t="s">
        <v>87</v>
      </c>
      <c r="D187" s="416"/>
      <c r="E187" s="62" t="s">
        <v>88</v>
      </c>
      <c r="F187" s="416" t="s">
        <v>89</v>
      </c>
      <c r="G187" s="416"/>
    </row>
    <row r="188" spans="1:7" ht="19.2" customHeight="1" x14ac:dyDescent="0.3">
      <c r="A188" s="62">
        <v>1</v>
      </c>
      <c r="B188" s="62">
        <v>2</v>
      </c>
      <c r="C188" s="416">
        <v>3</v>
      </c>
      <c r="D188" s="416"/>
      <c r="E188" s="62">
        <v>4</v>
      </c>
      <c r="F188" s="416">
        <v>5</v>
      </c>
      <c r="G188" s="416"/>
    </row>
    <row r="189" spans="1:7" ht="34.950000000000003" customHeight="1" x14ac:dyDescent="0.3">
      <c r="A189" s="11" t="s">
        <v>94</v>
      </c>
      <c r="B189" s="166">
        <v>5</v>
      </c>
      <c r="C189" s="417">
        <v>3000</v>
      </c>
      <c r="D189" s="417"/>
      <c r="E189" s="166">
        <v>5</v>
      </c>
      <c r="F189" s="417">
        <f>'платные на 2022 год '!D58</f>
        <v>15000</v>
      </c>
      <c r="G189" s="417"/>
    </row>
    <row r="190" spans="1:7" ht="12" customHeight="1" x14ac:dyDescent="0.3">
      <c r="A190" s="6"/>
    </row>
    <row r="191" spans="1:7" ht="39.6" customHeight="1" x14ac:dyDescent="0.3">
      <c r="A191" s="424" t="s">
        <v>206</v>
      </c>
      <c r="B191" s="424"/>
      <c r="C191" s="424"/>
      <c r="D191" s="424"/>
      <c r="E191" s="424"/>
      <c r="F191" s="424"/>
      <c r="G191" s="424"/>
    </row>
    <row r="192" spans="1:7" ht="18.600000000000001" customHeight="1" x14ac:dyDescent="0.3">
      <c r="A192" s="63"/>
      <c r="B192" s="63"/>
      <c r="C192" s="63"/>
      <c r="D192" s="63"/>
      <c r="E192" s="63"/>
      <c r="F192" s="63"/>
      <c r="G192" s="63"/>
    </row>
    <row r="193" spans="1:7" ht="18" x14ac:dyDescent="0.35">
      <c r="A193" s="7" t="s">
        <v>144</v>
      </c>
      <c r="B193" s="8">
        <v>111</v>
      </c>
    </row>
    <row r="194" spans="1:7" ht="16.2" customHeight="1" x14ac:dyDescent="0.3">
      <c r="A194" s="9"/>
    </row>
    <row r="195" spans="1:7" ht="37.950000000000003" customHeight="1" x14ac:dyDescent="0.3">
      <c r="A195" s="62" t="s">
        <v>85</v>
      </c>
      <c r="B195" s="416" t="s">
        <v>98</v>
      </c>
      <c r="C195" s="416"/>
      <c r="D195" s="416" t="s">
        <v>99</v>
      </c>
      <c r="E195" s="416"/>
      <c r="F195" s="416" t="s">
        <v>100</v>
      </c>
      <c r="G195" s="416"/>
    </row>
    <row r="196" spans="1:7" ht="16.2" customHeight="1" x14ac:dyDescent="0.35">
      <c r="A196" s="62">
        <v>1</v>
      </c>
      <c r="B196" s="408">
        <v>2</v>
      </c>
      <c r="C196" s="410"/>
      <c r="D196" s="408">
        <v>3</v>
      </c>
      <c r="E196" s="410"/>
      <c r="F196" s="422">
        <v>4</v>
      </c>
      <c r="G196" s="423"/>
    </row>
    <row r="197" spans="1:7" ht="65.25" customHeight="1" x14ac:dyDescent="0.3">
      <c r="A197" s="202" t="s">
        <v>101</v>
      </c>
      <c r="B197" s="408">
        <v>26</v>
      </c>
      <c r="C197" s="410"/>
      <c r="D197" s="452">
        <v>1000</v>
      </c>
      <c r="E197" s="453"/>
      <c r="F197" s="420">
        <f>'платные на 2022 год '!D68</f>
        <v>26913.620000000003</v>
      </c>
      <c r="G197" s="421"/>
    </row>
    <row r="198" spans="1:7" ht="18" x14ac:dyDescent="0.3">
      <c r="A198" s="13"/>
      <c r="B198" s="14"/>
      <c r="C198" s="14"/>
      <c r="D198" s="14"/>
      <c r="E198" s="14"/>
      <c r="F198" s="15"/>
      <c r="G198" s="15"/>
    </row>
    <row r="199" spans="1:7" ht="24.6" customHeight="1" x14ac:dyDescent="0.3">
      <c r="A199" s="424" t="s">
        <v>225</v>
      </c>
      <c r="B199" s="424"/>
      <c r="C199" s="424"/>
      <c r="D199" s="424"/>
      <c r="E199" s="424"/>
      <c r="F199" s="424"/>
      <c r="G199" s="424"/>
    </row>
    <row r="200" spans="1:7" ht="18" customHeight="1" x14ac:dyDescent="0.35">
      <c r="A200" s="7" t="s">
        <v>144</v>
      </c>
      <c r="B200" s="8">
        <v>851</v>
      </c>
    </row>
    <row r="201" spans="1:7" ht="18" customHeight="1" x14ac:dyDescent="0.3">
      <c r="A201" s="9"/>
    </row>
    <row r="202" spans="1:7" ht="57.75" customHeight="1" x14ac:dyDescent="0.3">
      <c r="A202" s="115" t="s">
        <v>85</v>
      </c>
      <c r="B202" s="416" t="s">
        <v>108</v>
      </c>
      <c r="C202" s="416"/>
      <c r="D202" s="416" t="s">
        <v>109</v>
      </c>
      <c r="E202" s="416"/>
      <c r="F202" s="416" t="s">
        <v>110</v>
      </c>
      <c r="G202" s="416"/>
    </row>
    <row r="203" spans="1:7" ht="21" customHeight="1" x14ac:dyDescent="0.3">
      <c r="A203" s="115">
        <v>1</v>
      </c>
      <c r="B203" s="416">
        <v>2</v>
      </c>
      <c r="C203" s="416"/>
      <c r="D203" s="499">
        <v>3</v>
      </c>
      <c r="E203" s="499"/>
      <c r="F203" s="499">
        <v>4</v>
      </c>
      <c r="G203" s="499"/>
    </row>
    <row r="204" spans="1:7" ht="18" customHeight="1" x14ac:dyDescent="0.3">
      <c r="A204" s="411" t="s">
        <v>111</v>
      </c>
      <c r="B204" s="461">
        <v>398932</v>
      </c>
      <c r="C204" s="461"/>
      <c r="D204" s="525">
        <v>2.2000000000000002</v>
      </c>
      <c r="E204" s="525"/>
      <c r="F204" s="500">
        <f>'платные на 2022 год '!D75</f>
        <v>77000</v>
      </c>
      <c r="G204" s="500"/>
    </row>
    <row r="205" spans="1:7" ht="16.5" customHeight="1" x14ac:dyDescent="0.3">
      <c r="A205" s="411"/>
      <c r="B205" s="461">
        <v>6474940</v>
      </c>
      <c r="C205" s="461"/>
      <c r="D205" s="525">
        <v>1.1000000000000001</v>
      </c>
      <c r="E205" s="525"/>
      <c r="F205" s="500"/>
      <c r="G205" s="500"/>
    </row>
    <row r="206" spans="1:7" ht="18" x14ac:dyDescent="0.3">
      <c r="A206" s="13"/>
      <c r="B206" s="14"/>
      <c r="C206" s="17"/>
      <c r="D206" s="18"/>
      <c r="E206" s="19"/>
      <c r="F206" s="19"/>
      <c r="G206" s="19"/>
    </row>
    <row r="207" spans="1:7" ht="18" x14ac:dyDescent="0.3">
      <c r="A207" s="7" t="s">
        <v>113</v>
      </c>
    </row>
    <row r="208" spans="1:7" ht="15" x14ac:dyDescent="0.3">
      <c r="A208" s="9"/>
    </row>
    <row r="209" spans="1:7" ht="22.5" customHeight="1" x14ac:dyDescent="0.3">
      <c r="A209" s="207" t="s">
        <v>85</v>
      </c>
      <c r="B209" s="416" t="s">
        <v>108</v>
      </c>
      <c r="C209" s="416"/>
      <c r="D209" s="416" t="s">
        <v>109</v>
      </c>
      <c r="E209" s="416"/>
      <c r="F209" s="416" t="s">
        <v>114</v>
      </c>
      <c r="G209" s="416"/>
    </row>
    <row r="210" spans="1:7" ht="18" x14ac:dyDescent="0.35">
      <c r="A210" s="207">
        <v>1</v>
      </c>
      <c r="B210" s="408">
        <v>2</v>
      </c>
      <c r="C210" s="410"/>
      <c r="D210" s="408">
        <v>3</v>
      </c>
      <c r="E210" s="410"/>
      <c r="F210" s="422">
        <v>4</v>
      </c>
      <c r="G210" s="423"/>
    </row>
    <row r="211" spans="1:7" ht="33.75" customHeight="1" x14ac:dyDescent="0.3">
      <c r="A211" s="206" t="s">
        <v>115</v>
      </c>
      <c r="B211" s="408" t="s">
        <v>116</v>
      </c>
      <c r="C211" s="410"/>
      <c r="D211" s="408" t="s">
        <v>116</v>
      </c>
      <c r="E211" s="410"/>
      <c r="F211" s="420">
        <f>'платные на 2022 год '!D76</f>
        <v>9000</v>
      </c>
      <c r="G211" s="512"/>
    </row>
    <row r="212" spans="1:7" ht="18" customHeight="1" x14ac:dyDescent="0.3">
      <c r="A212" s="13"/>
      <c r="B212" s="17"/>
      <c r="C212" s="17"/>
      <c r="D212" s="17"/>
      <c r="E212" s="17"/>
      <c r="F212" s="228"/>
      <c r="G212" s="328"/>
    </row>
    <row r="213" spans="1:7" ht="18" customHeight="1" x14ac:dyDescent="0.3">
      <c r="A213" s="7" t="s">
        <v>118</v>
      </c>
    </row>
    <row r="214" spans="1:7" ht="16.5" customHeight="1" x14ac:dyDescent="0.3">
      <c r="A214" s="9"/>
    </row>
    <row r="215" spans="1:7" ht="31.5" customHeight="1" x14ac:dyDescent="0.3">
      <c r="A215" s="359" t="s">
        <v>85</v>
      </c>
      <c r="B215" s="416" t="s">
        <v>108</v>
      </c>
      <c r="C215" s="416"/>
      <c r="D215" s="416" t="s">
        <v>109</v>
      </c>
      <c r="E215" s="416"/>
      <c r="F215" s="416" t="s">
        <v>114</v>
      </c>
      <c r="G215" s="416"/>
    </row>
    <row r="216" spans="1:7" ht="15.75" customHeight="1" x14ac:dyDescent="0.35">
      <c r="A216" s="359">
        <v>1</v>
      </c>
      <c r="B216" s="408">
        <v>2</v>
      </c>
      <c r="C216" s="410"/>
      <c r="D216" s="408">
        <v>3</v>
      </c>
      <c r="E216" s="410"/>
      <c r="F216" s="422">
        <v>4</v>
      </c>
      <c r="G216" s="423"/>
    </row>
    <row r="217" spans="1:7" ht="75.75" customHeight="1" x14ac:dyDescent="0.3">
      <c r="A217" s="358" t="s">
        <v>154</v>
      </c>
      <c r="B217" s="408" t="s">
        <v>116</v>
      </c>
      <c r="C217" s="410"/>
      <c r="D217" s="408" t="s">
        <v>116</v>
      </c>
      <c r="E217" s="410"/>
      <c r="F217" s="420">
        <f>'платные на 2022 год '!E77</f>
        <v>107.62</v>
      </c>
      <c r="G217" s="421"/>
    </row>
    <row r="218" spans="1:7" ht="14.25" customHeight="1" x14ac:dyDescent="0.3">
      <c r="A218" s="13"/>
      <c r="B218" s="17"/>
      <c r="C218" s="17"/>
      <c r="D218" s="17"/>
      <c r="E218" s="17"/>
      <c r="F218" s="228"/>
      <c r="G218" s="328"/>
    </row>
    <row r="219" spans="1:7" ht="14.25" customHeight="1" x14ac:dyDescent="0.3">
      <c r="A219" s="13"/>
      <c r="B219" s="17"/>
      <c r="C219" s="17"/>
      <c r="D219" s="17"/>
      <c r="E219" s="17"/>
      <c r="F219" s="228"/>
      <c r="G219" s="328"/>
    </row>
    <row r="220" spans="1:7" ht="14.25" customHeight="1" x14ac:dyDescent="0.3">
      <c r="A220" s="13"/>
      <c r="B220" s="17"/>
      <c r="C220" s="17"/>
      <c r="D220" s="17"/>
      <c r="E220" s="17"/>
      <c r="F220" s="228"/>
      <c r="G220" s="328"/>
    </row>
    <row r="221" spans="1:7" ht="14.25" customHeight="1" x14ac:dyDescent="0.3">
      <c r="A221" s="13"/>
      <c r="B221" s="17"/>
      <c r="C221" s="17"/>
      <c r="D221" s="17"/>
      <c r="E221" s="17"/>
      <c r="F221" s="228"/>
      <c r="G221" s="328"/>
    </row>
    <row r="222" spans="1:7" ht="14.25" customHeight="1" x14ac:dyDescent="0.3">
      <c r="A222" s="13"/>
      <c r="B222" s="17"/>
      <c r="C222" s="17"/>
      <c r="D222" s="17"/>
      <c r="E222" s="17"/>
      <c r="F222" s="228"/>
      <c r="G222" s="328"/>
    </row>
    <row r="223" spans="1:7" ht="14.25" customHeight="1" x14ac:dyDescent="0.3">
      <c r="A223" s="13"/>
      <c r="B223" s="17"/>
      <c r="C223" s="17"/>
      <c r="D223" s="17"/>
      <c r="E223" s="17"/>
      <c r="F223" s="228"/>
      <c r="G223" s="328"/>
    </row>
    <row r="224" spans="1:7" ht="14.25" customHeight="1" x14ac:dyDescent="0.3">
      <c r="A224" s="13"/>
      <c r="B224" s="17"/>
      <c r="C224" s="17"/>
      <c r="D224" s="17"/>
      <c r="E224" s="17"/>
      <c r="F224" s="228"/>
      <c r="G224" s="328"/>
    </row>
    <row r="225" spans="1:9" ht="14.25" customHeight="1" x14ac:dyDescent="0.3">
      <c r="A225" s="13"/>
      <c r="B225" s="17"/>
      <c r="C225" s="17"/>
      <c r="D225" s="17"/>
      <c r="E225" s="17"/>
      <c r="F225" s="228"/>
      <c r="G225" s="328"/>
    </row>
    <row r="226" spans="1:9" ht="14.25" customHeight="1" x14ac:dyDescent="0.3">
      <c r="A226" s="13"/>
      <c r="B226" s="17"/>
      <c r="C226" s="17"/>
      <c r="D226" s="17"/>
      <c r="E226" s="17"/>
      <c r="F226" s="228"/>
      <c r="G226" s="328"/>
    </row>
    <row r="227" spans="1:9" ht="14.25" customHeight="1" x14ac:dyDescent="0.3">
      <c r="A227" s="13"/>
      <c r="B227" s="17"/>
      <c r="C227" s="17"/>
      <c r="D227" s="17"/>
      <c r="E227" s="17"/>
      <c r="F227" s="228"/>
      <c r="G227" s="328"/>
    </row>
    <row r="228" spans="1:9" ht="37.5" customHeight="1" x14ac:dyDescent="0.3">
      <c r="A228" s="424" t="s">
        <v>212</v>
      </c>
      <c r="B228" s="424"/>
      <c r="C228" s="424"/>
      <c r="D228" s="424"/>
      <c r="E228" s="424"/>
      <c r="F228" s="424"/>
      <c r="G228" s="424"/>
    </row>
    <row r="229" spans="1:9" ht="21.75" customHeight="1" x14ac:dyDescent="0.35">
      <c r="A229" s="7" t="s">
        <v>144</v>
      </c>
      <c r="B229" s="8">
        <v>853</v>
      </c>
    </row>
    <row r="230" spans="1:9" ht="12.75" customHeight="1" x14ac:dyDescent="0.3">
      <c r="A230" s="9"/>
    </row>
    <row r="231" spans="1:9" ht="18" x14ac:dyDescent="0.3">
      <c r="A231" s="254" t="s">
        <v>85</v>
      </c>
      <c r="B231" s="416" t="s">
        <v>108</v>
      </c>
      <c r="C231" s="416"/>
      <c r="D231" s="416" t="s">
        <v>109</v>
      </c>
      <c r="E231" s="416"/>
      <c r="F231" s="416" t="s">
        <v>110</v>
      </c>
      <c r="G231" s="416"/>
    </row>
    <row r="232" spans="1:9" ht="12" customHeight="1" x14ac:dyDescent="0.3">
      <c r="A232" s="254">
        <v>1</v>
      </c>
      <c r="B232" s="416">
        <v>2</v>
      </c>
      <c r="C232" s="416"/>
      <c r="D232" s="416">
        <v>3</v>
      </c>
      <c r="E232" s="416"/>
      <c r="F232" s="416">
        <v>4</v>
      </c>
      <c r="G232" s="416"/>
    </row>
    <row r="233" spans="1:9" ht="18" x14ac:dyDescent="0.3">
      <c r="A233" s="254"/>
      <c r="B233" s="408"/>
      <c r="C233" s="410"/>
      <c r="D233" s="408"/>
      <c r="E233" s="410"/>
      <c r="F233" s="408"/>
      <c r="G233" s="410"/>
    </row>
    <row r="234" spans="1:9" ht="12.75" customHeight="1" x14ac:dyDescent="0.3">
      <c r="A234" s="254" t="s">
        <v>244</v>
      </c>
      <c r="B234" s="408"/>
      <c r="C234" s="410"/>
      <c r="D234" s="408"/>
      <c r="E234" s="410"/>
      <c r="F234" s="452">
        <f>'платные на 2022 год '!D78</f>
        <v>3000</v>
      </c>
      <c r="G234" s="410"/>
    </row>
    <row r="235" spans="1:9" ht="20.25" customHeight="1" x14ac:dyDescent="0.3">
      <c r="A235" s="254"/>
      <c r="B235" s="408"/>
      <c r="C235" s="410"/>
      <c r="D235" s="408"/>
      <c r="E235" s="410"/>
      <c r="F235" s="408"/>
      <c r="G235" s="410"/>
    </row>
    <row r="236" spans="1:9" ht="13.5" customHeight="1" x14ac:dyDescent="0.3">
      <c r="A236" s="254" t="s">
        <v>245</v>
      </c>
      <c r="B236" s="408"/>
      <c r="C236" s="410"/>
      <c r="D236" s="408"/>
      <c r="E236" s="410"/>
      <c r="F236" s="452">
        <f>'[2]платные на 2020 год '!D62</f>
        <v>0</v>
      </c>
      <c r="G236" s="410"/>
      <c r="H236" s="44"/>
      <c r="I236" s="44"/>
    </row>
    <row r="237" spans="1:9" ht="15" customHeight="1" x14ac:dyDescent="0.3">
      <c r="A237" s="254"/>
      <c r="B237" s="408"/>
      <c r="C237" s="410"/>
      <c r="D237" s="408"/>
      <c r="E237" s="410"/>
      <c r="F237" s="408"/>
      <c r="G237" s="410"/>
    </row>
    <row r="238" spans="1:9" ht="12.75" customHeight="1" x14ac:dyDescent="0.3">
      <c r="A238" s="254" t="s">
        <v>246</v>
      </c>
      <c r="B238" s="408"/>
      <c r="C238" s="410"/>
      <c r="D238" s="408"/>
      <c r="E238" s="410"/>
      <c r="F238" s="452">
        <f>'платные на 2022 год '!D80</f>
        <v>0</v>
      </c>
      <c r="G238" s="410"/>
    </row>
    <row r="239" spans="1:9" ht="18" x14ac:dyDescent="0.3">
      <c r="A239" s="254"/>
      <c r="B239" s="408"/>
      <c r="C239" s="410"/>
      <c r="D239" s="408"/>
      <c r="E239" s="410"/>
      <c r="F239" s="408"/>
      <c r="G239" s="410"/>
    </row>
    <row r="240" spans="1:9" ht="15" customHeight="1" x14ac:dyDescent="0.3">
      <c r="A240" s="254" t="s">
        <v>247</v>
      </c>
      <c r="B240" s="408"/>
      <c r="C240" s="410"/>
      <c r="D240" s="408"/>
      <c r="E240" s="410"/>
      <c r="F240" s="452">
        <f>'[2]платные на 2020 год '!D69</f>
        <v>0</v>
      </c>
      <c r="G240" s="410"/>
    </row>
    <row r="241" spans="1:9" ht="15.6" customHeight="1" x14ac:dyDescent="0.3">
      <c r="A241" s="254"/>
      <c r="B241" s="408"/>
      <c r="C241" s="410"/>
      <c r="D241" s="408"/>
      <c r="E241" s="410"/>
      <c r="F241" s="408"/>
      <c r="G241" s="410"/>
    </row>
    <row r="242" spans="1:9" ht="18" x14ac:dyDescent="0.3">
      <c r="A242" s="254" t="s">
        <v>248</v>
      </c>
      <c r="B242" s="408"/>
      <c r="C242" s="410"/>
      <c r="D242" s="408"/>
      <c r="E242" s="410"/>
      <c r="F242" s="452">
        <f>'платные на 2022 год '!D92</f>
        <v>30000</v>
      </c>
      <c r="G242" s="410"/>
    </row>
    <row r="243" spans="1:9" ht="17.25" customHeight="1" x14ac:dyDescent="0.3">
      <c r="A243" s="253"/>
      <c r="B243" s="499"/>
      <c r="C243" s="499"/>
      <c r="D243" s="499"/>
      <c r="E243" s="499"/>
      <c r="F243" s="500"/>
      <c r="G243" s="500"/>
    </row>
    <row r="244" spans="1:9" ht="22.95" customHeight="1" x14ac:dyDescent="0.3">
      <c r="A244" s="424" t="s">
        <v>213</v>
      </c>
      <c r="B244" s="424"/>
      <c r="C244" s="424"/>
      <c r="D244" s="424"/>
      <c r="E244" s="424"/>
      <c r="F244" s="424"/>
      <c r="G244" s="424"/>
      <c r="H244" s="44"/>
      <c r="I244" s="44"/>
    </row>
    <row r="245" spans="1:9" ht="18.75" customHeight="1" x14ac:dyDescent="0.3">
      <c r="A245" s="63"/>
      <c r="B245" s="63"/>
      <c r="C245" s="63"/>
      <c r="D245" s="63"/>
      <c r="E245" s="63"/>
      <c r="F245" s="63"/>
      <c r="G245" s="63"/>
    </row>
    <row r="246" spans="1:9" ht="17.25" customHeight="1" x14ac:dyDescent="0.3">
      <c r="A246" s="415" t="s">
        <v>215</v>
      </c>
      <c r="B246" s="415"/>
      <c r="C246" s="415"/>
      <c r="D246" s="415"/>
      <c r="E246" s="415"/>
      <c r="F246" s="415"/>
      <c r="G246" s="415"/>
    </row>
    <row r="247" spans="1:9" ht="18" customHeight="1" x14ac:dyDescent="0.3">
      <c r="A247" s="7"/>
    </row>
    <row r="248" spans="1:9" ht="18" customHeight="1" x14ac:dyDescent="0.35">
      <c r="A248" s="7" t="s">
        <v>144</v>
      </c>
      <c r="B248" s="8">
        <v>244</v>
      </c>
    </row>
    <row r="249" spans="1:9" ht="18" customHeight="1" x14ac:dyDescent="0.3">
      <c r="A249" s="6"/>
    </row>
    <row r="250" spans="1:9" ht="36" x14ac:dyDescent="0.3">
      <c r="A250" s="416" t="s">
        <v>85</v>
      </c>
      <c r="B250" s="416"/>
      <c r="C250" s="207" t="s">
        <v>120</v>
      </c>
      <c r="D250" s="416" t="s">
        <v>121</v>
      </c>
      <c r="E250" s="416"/>
      <c r="F250" s="416" t="s">
        <v>185</v>
      </c>
      <c r="G250" s="416"/>
    </row>
    <row r="251" spans="1:9" ht="34.5" customHeight="1" x14ac:dyDescent="0.3">
      <c r="A251" s="416">
        <v>1</v>
      </c>
      <c r="B251" s="416"/>
      <c r="C251" s="156">
        <v>2</v>
      </c>
      <c r="D251" s="416">
        <v>3</v>
      </c>
      <c r="E251" s="416"/>
      <c r="F251" s="499">
        <v>4</v>
      </c>
      <c r="G251" s="499"/>
    </row>
    <row r="252" spans="1:9" ht="22.95" customHeight="1" x14ac:dyDescent="0.3">
      <c r="A252" s="501" t="s">
        <v>122</v>
      </c>
      <c r="B252" s="501"/>
      <c r="C252" s="290">
        <v>10</v>
      </c>
      <c r="D252" s="528">
        <v>1530</v>
      </c>
      <c r="E252" s="528"/>
      <c r="F252" s="528">
        <f>C252*D252*12</f>
        <v>183600</v>
      </c>
      <c r="G252" s="528"/>
      <c r="H252" s="44"/>
    </row>
    <row r="253" spans="1:9" ht="18.600000000000001" customHeight="1" x14ac:dyDescent="0.3">
      <c r="A253" s="501" t="s">
        <v>359</v>
      </c>
      <c r="B253" s="501"/>
      <c r="C253" s="290">
        <v>5</v>
      </c>
      <c r="D253" s="528">
        <v>200</v>
      </c>
      <c r="E253" s="528"/>
      <c r="F253" s="528">
        <f>C253*D253*12</f>
        <v>12000</v>
      </c>
      <c r="G253" s="528"/>
    </row>
    <row r="254" spans="1:9" ht="18.600000000000001" customHeight="1" x14ac:dyDescent="0.3">
      <c r="A254" s="501" t="s">
        <v>360</v>
      </c>
      <c r="B254" s="501"/>
      <c r="C254" s="290">
        <v>5</v>
      </c>
      <c r="D254" s="528">
        <v>1400</v>
      </c>
      <c r="E254" s="528"/>
      <c r="F254" s="528">
        <f>C254*D254*12</f>
        <v>84000</v>
      </c>
      <c r="G254" s="528"/>
    </row>
    <row r="255" spans="1:9" ht="18.600000000000001" customHeight="1" x14ac:dyDescent="0.3">
      <c r="A255" s="501" t="s">
        <v>389</v>
      </c>
      <c r="B255" s="501"/>
      <c r="C255" s="290">
        <v>2</v>
      </c>
      <c r="D255" s="528">
        <v>2408.3332999999998</v>
      </c>
      <c r="E255" s="528"/>
      <c r="F255" s="528">
        <f>C255*D255*12+4000</f>
        <v>61799.999199999991</v>
      </c>
      <c r="G255" s="528"/>
    </row>
    <row r="256" spans="1:9" ht="34.5" customHeight="1" x14ac:dyDescent="0.3">
      <c r="A256" s="501" t="s">
        <v>390</v>
      </c>
      <c r="B256" s="501"/>
      <c r="C256" s="220">
        <v>5</v>
      </c>
      <c r="D256" s="440">
        <v>310</v>
      </c>
      <c r="E256" s="440"/>
      <c r="F256" s="440">
        <f>C256*D256*12+30000</f>
        <v>48600</v>
      </c>
      <c r="G256" s="440"/>
    </row>
    <row r="257" spans="1:7" ht="17.25" customHeight="1" x14ac:dyDescent="0.3">
      <c r="A257" s="502" t="s">
        <v>361</v>
      </c>
      <c r="B257" s="502"/>
      <c r="C257" s="221"/>
      <c r="D257" s="503"/>
      <c r="E257" s="503"/>
      <c r="F257" s="504">
        <f>'платные на 2022 год '!D39</f>
        <v>390000</v>
      </c>
      <c r="G257" s="504"/>
    </row>
    <row r="258" spans="1:7" ht="17.25" customHeight="1" x14ac:dyDescent="0.3">
      <c r="A258" s="214"/>
      <c r="B258" s="215"/>
      <c r="C258" s="215"/>
      <c r="D258" s="215"/>
      <c r="E258" s="215"/>
      <c r="F258" s="215"/>
      <c r="G258" s="215"/>
    </row>
    <row r="259" spans="1:7" ht="17.25" customHeight="1" x14ac:dyDescent="0.3">
      <c r="A259" s="384" t="s">
        <v>216</v>
      </c>
      <c r="B259" s="384"/>
      <c r="C259" s="384"/>
      <c r="D259" s="384"/>
      <c r="E259" s="384"/>
      <c r="F259" s="384"/>
      <c r="G259" s="384"/>
    </row>
    <row r="260" spans="1:7" ht="17.25" customHeight="1" x14ac:dyDescent="0.3">
      <c r="A260" s="222"/>
      <c r="B260" s="223"/>
      <c r="C260" s="223"/>
      <c r="D260" s="223"/>
      <c r="E260" s="223"/>
      <c r="F260" s="223"/>
      <c r="G260" s="223"/>
    </row>
    <row r="261" spans="1:7" ht="16.5" customHeight="1" x14ac:dyDescent="0.35">
      <c r="A261" s="222" t="s">
        <v>144</v>
      </c>
      <c r="B261" s="224">
        <v>244</v>
      </c>
      <c r="C261" s="223"/>
      <c r="D261" s="223"/>
      <c r="E261" s="223"/>
      <c r="F261" s="223"/>
      <c r="G261" s="223"/>
    </row>
    <row r="262" spans="1:7" ht="17.25" customHeight="1" x14ac:dyDescent="0.3">
      <c r="A262" s="225"/>
      <c r="B262" s="223"/>
      <c r="C262" s="223"/>
      <c r="D262" s="223"/>
      <c r="E262" s="223"/>
      <c r="F262" s="223"/>
      <c r="G262" s="223"/>
    </row>
    <row r="263" spans="1:7" ht="54.75" customHeight="1" x14ac:dyDescent="0.3">
      <c r="A263" s="477" t="s">
        <v>85</v>
      </c>
      <c r="B263" s="477"/>
      <c r="C263" s="172" t="s">
        <v>124</v>
      </c>
      <c r="D263" s="477" t="s">
        <v>92</v>
      </c>
      <c r="E263" s="477"/>
      <c r="F263" s="477" t="s">
        <v>185</v>
      </c>
      <c r="G263" s="477"/>
    </row>
    <row r="264" spans="1:7" ht="17.25" customHeight="1" x14ac:dyDescent="0.3">
      <c r="A264" s="418">
        <v>1</v>
      </c>
      <c r="B264" s="419"/>
      <c r="C264" s="172">
        <v>2</v>
      </c>
      <c r="D264" s="477">
        <v>3</v>
      </c>
      <c r="E264" s="477"/>
      <c r="F264" s="477">
        <v>4</v>
      </c>
      <c r="G264" s="477"/>
    </row>
    <row r="265" spans="1:7" ht="24" customHeight="1" x14ac:dyDescent="0.3">
      <c r="A265" s="502" t="s">
        <v>391</v>
      </c>
      <c r="B265" s="502"/>
      <c r="C265" s="172">
        <v>4</v>
      </c>
      <c r="D265" s="427">
        <v>110000</v>
      </c>
      <c r="E265" s="427"/>
      <c r="F265" s="427">
        <f>'платные на 2022 год '!D42</f>
        <v>181347.08</v>
      </c>
      <c r="G265" s="427"/>
    </row>
    <row r="266" spans="1:7" ht="15" customHeight="1" x14ac:dyDescent="0.3">
      <c r="A266" s="6"/>
    </row>
    <row r="267" spans="1:7" ht="17.25" customHeight="1" x14ac:dyDescent="0.3">
      <c r="A267" s="415" t="s">
        <v>217</v>
      </c>
      <c r="B267" s="415"/>
      <c r="C267" s="415"/>
      <c r="D267" s="415"/>
      <c r="E267" s="415"/>
      <c r="F267" s="415"/>
      <c r="G267" s="415"/>
    </row>
    <row r="268" spans="1:7" ht="18.75" customHeight="1" x14ac:dyDescent="0.3">
      <c r="A268" s="7"/>
    </row>
    <row r="269" spans="1:7" ht="26.25" customHeight="1" x14ac:dyDescent="0.3">
      <c r="A269" s="7" t="s">
        <v>144</v>
      </c>
      <c r="B269" s="7">
        <v>244</v>
      </c>
    </row>
    <row r="270" spans="1:7" ht="17.399999999999999" x14ac:dyDescent="0.3">
      <c r="A270" s="6"/>
    </row>
    <row r="271" spans="1:7" ht="15" customHeight="1" x14ac:dyDescent="0.3">
      <c r="A271" s="416" t="s">
        <v>85</v>
      </c>
      <c r="B271" s="416"/>
      <c r="C271" s="321" t="s">
        <v>125</v>
      </c>
      <c r="D271" s="416" t="s">
        <v>126</v>
      </c>
      <c r="E271" s="416"/>
      <c r="F271" s="416" t="s">
        <v>93</v>
      </c>
      <c r="G271" s="416"/>
    </row>
    <row r="272" spans="1:7" ht="18" x14ac:dyDescent="0.3">
      <c r="A272" s="416">
        <v>1</v>
      </c>
      <c r="B272" s="416"/>
      <c r="C272" s="306">
        <v>2</v>
      </c>
      <c r="D272" s="416">
        <v>3</v>
      </c>
      <c r="E272" s="416"/>
      <c r="F272" s="416">
        <v>4</v>
      </c>
      <c r="G272" s="416"/>
    </row>
    <row r="273" spans="1:7" ht="34.5" customHeight="1" x14ac:dyDescent="0.3">
      <c r="A273" s="411" t="s">
        <v>21</v>
      </c>
      <c r="B273" s="411"/>
      <c r="C273" s="308">
        <v>1039.2849799999999</v>
      </c>
      <c r="D273" s="525">
        <v>96.22</v>
      </c>
      <c r="E273" s="525"/>
      <c r="F273" s="417">
        <f>'платные на 2022 год '!E51</f>
        <v>150000</v>
      </c>
      <c r="G273" s="417"/>
    </row>
    <row r="274" spans="1:7" ht="36" customHeight="1" x14ac:dyDescent="0.3">
      <c r="A274" s="412" t="s">
        <v>22</v>
      </c>
      <c r="B274" s="414"/>
      <c r="C274" s="323">
        <v>276.89326</v>
      </c>
      <c r="D274" s="417">
        <v>361.15</v>
      </c>
      <c r="E274" s="417"/>
      <c r="F274" s="452">
        <f>'платные на 2022 год '!E52</f>
        <v>121159.2</v>
      </c>
      <c r="G274" s="453"/>
    </row>
    <row r="275" spans="1:7" ht="18" x14ac:dyDescent="0.3">
      <c r="A275" s="411" t="s">
        <v>361</v>
      </c>
      <c r="B275" s="411"/>
      <c r="C275" s="307"/>
      <c r="D275" s="526"/>
      <c r="E275" s="527"/>
      <c r="F275" s="417">
        <f>SUM(F273:F274)</f>
        <v>271159.2</v>
      </c>
      <c r="G275" s="417"/>
    </row>
    <row r="276" spans="1:7" ht="18" customHeight="1" x14ac:dyDescent="0.3">
      <c r="A276" s="26"/>
      <c r="B276" s="26"/>
      <c r="C276" s="329"/>
      <c r="D276" s="330"/>
      <c r="E276" s="330"/>
      <c r="F276" s="305"/>
      <c r="G276" s="305"/>
    </row>
    <row r="277" spans="1:7" ht="18" customHeight="1" x14ac:dyDescent="0.3">
      <c r="A277" s="26"/>
      <c r="B277" s="26"/>
      <c r="C277" s="329"/>
      <c r="D277" s="330"/>
      <c r="E277" s="330"/>
      <c r="F277" s="305"/>
      <c r="G277" s="305"/>
    </row>
    <row r="278" spans="1:7" ht="18" customHeight="1" x14ac:dyDescent="0.3">
      <c r="A278" s="26"/>
      <c r="B278" s="26"/>
      <c r="C278" s="329"/>
      <c r="D278" s="330"/>
      <c r="E278" s="330"/>
      <c r="F278" s="305"/>
      <c r="G278" s="305"/>
    </row>
    <row r="279" spans="1:7" ht="14.25" customHeight="1" x14ac:dyDescent="0.3">
      <c r="A279" s="26"/>
      <c r="B279" s="26"/>
      <c r="C279" s="329"/>
      <c r="D279" s="330"/>
      <c r="E279" s="330"/>
      <c r="F279" s="305"/>
      <c r="G279" s="305"/>
    </row>
    <row r="280" spans="1:7" ht="14.25" customHeight="1" x14ac:dyDescent="0.3">
      <c r="A280" s="26"/>
      <c r="B280" s="26"/>
      <c r="C280" s="329"/>
      <c r="D280" s="330"/>
      <c r="E280" s="330"/>
      <c r="F280" s="305"/>
      <c r="G280" s="305"/>
    </row>
    <row r="281" spans="1:7" ht="12" customHeight="1" x14ac:dyDescent="0.3">
      <c r="A281" s="26"/>
      <c r="B281" s="26"/>
      <c r="C281" s="329"/>
      <c r="D281" s="330"/>
      <c r="E281" s="330"/>
      <c r="F281" s="305"/>
      <c r="G281" s="305"/>
    </row>
    <row r="282" spans="1:7" ht="18.75" customHeight="1" x14ac:dyDescent="0.35">
      <c r="A282" s="7" t="s">
        <v>144</v>
      </c>
      <c r="B282" s="8">
        <v>247</v>
      </c>
    </row>
    <row r="283" spans="1:7" ht="21.6" customHeight="1" x14ac:dyDescent="0.3">
      <c r="A283" s="6"/>
    </row>
    <row r="284" spans="1:7" ht="36.75" customHeight="1" x14ac:dyDescent="0.3">
      <c r="A284" s="416" t="s">
        <v>85</v>
      </c>
      <c r="B284" s="416"/>
      <c r="C284" s="115" t="s">
        <v>125</v>
      </c>
      <c r="D284" s="416" t="s">
        <v>126</v>
      </c>
      <c r="E284" s="416"/>
      <c r="F284" s="416" t="s">
        <v>93</v>
      </c>
      <c r="G284" s="416"/>
    </row>
    <row r="285" spans="1:7" ht="15" customHeight="1" x14ac:dyDescent="0.3">
      <c r="A285" s="416">
        <v>1</v>
      </c>
      <c r="B285" s="416"/>
      <c r="C285" s="115">
        <v>2</v>
      </c>
      <c r="D285" s="416">
        <v>3</v>
      </c>
      <c r="E285" s="416"/>
      <c r="F285" s="416">
        <v>4</v>
      </c>
      <c r="G285" s="416"/>
    </row>
    <row r="286" spans="1:7" ht="39" customHeight="1" x14ac:dyDescent="0.3">
      <c r="A286" s="411" t="s">
        <v>18</v>
      </c>
      <c r="B286" s="411"/>
      <c r="C286" s="150">
        <v>38.797289999999997</v>
      </c>
      <c r="D286" s="509">
        <v>2577.5</v>
      </c>
      <c r="E286" s="509"/>
      <c r="F286" s="417">
        <f>'платные на 2022 год '!D48</f>
        <v>100000</v>
      </c>
      <c r="G286" s="417"/>
    </row>
    <row r="287" spans="1:7" ht="39" customHeight="1" x14ac:dyDescent="0.3">
      <c r="A287" s="411" t="s">
        <v>20</v>
      </c>
      <c r="B287" s="411"/>
      <c r="C287" s="150">
        <v>10526.315790000001</v>
      </c>
      <c r="D287" s="525">
        <v>9.5</v>
      </c>
      <c r="E287" s="525"/>
      <c r="F287" s="417">
        <f>'платные на 2022 год '!D50</f>
        <v>150000</v>
      </c>
      <c r="G287" s="417"/>
    </row>
    <row r="288" spans="1:7" ht="20.399999999999999" customHeight="1" x14ac:dyDescent="0.3">
      <c r="A288" s="411" t="s">
        <v>361</v>
      </c>
      <c r="B288" s="411"/>
      <c r="C288" s="232"/>
      <c r="D288" s="526"/>
      <c r="E288" s="527"/>
      <c r="F288" s="417">
        <f>SUM(F286:F287)</f>
        <v>250000</v>
      </c>
      <c r="G288" s="417"/>
    </row>
    <row r="289" spans="1:7" ht="20.399999999999999" customHeight="1" x14ac:dyDescent="0.3">
      <c r="A289" s="169"/>
      <c r="B289" s="17"/>
      <c r="C289" s="17"/>
      <c r="D289" s="17"/>
      <c r="E289" s="17"/>
      <c r="F289" s="17"/>
      <c r="G289" s="17"/>
    </row>
    <row r="290" spans="1:7" ht="20.399999999999999" hidden="1" customHeight="1" x14ac:dyDescent="0.3">
      <c r="A290" s="169"/>
      <c r="B290" s="17"/>
      <c r="C290" s="17"/>
      <c r="D290" s="17"/>
      <c r="E290" s="17"/>
      <c r="F290" s="17"/>
      <c r="G290" s="17"/>
    </row>
    <row r="291" spans="1:7" ht="20.399999999999999" hidden="1" customHeight="1" x14ac:dyDescent="0.3">
      <c r="A291" s="169"/>
      <c r="B291" s="17"/>
      <c r="C291" s="17"/>
      <c r="D291" s="17"/>
      <c r="E291" s="17"/>
      <c r="F291" s="17"/>
      <c r="G291" s="17"/>
    </row>
    <row r="292" spans="1:7" ht="37.5" hidden="1" customHeight="1" x14ac:dyDescent="0.3">
      <c r="A292" s="169"/>
      <c r="B292" s="17"/>
      <c r="C292" s="17"/>
      <c r="D292" s="17"/>
      <c r="E292" s="17"/>
      <c r="F292" s="17"/>
      <c r="G292" s="17"/>
    </row>
    <row r="293" spans="1:7" ht="14.25" hidden="1" customHeight="1" x14ac:dyDescent="0.3">
      <c r="A293" s="169"/>
      <c r="B293" s="17"/>
      <c r="C293" s="17"/>
      <c r="D293" s="17"/>
      <c r="E293" s="17"/>
      <c r="F293" s="17"/>
      <c r="G293" s="17"/>
    </row>
    <row r="294" spans="1:7" ht="15.6" hidden="1" customHeight="1" x14ac:dyDescent="0.3">
      <c r="A294" s="169"/>
      <c r="B294" s="17"/>
      <c r="C294" s="17"/>
      <c r="D294" s="17"/>
      <c r="E294" s="17"/>
      <c r="F294" s="17"/>
      <c r="G294" s="17"/>
    </row>
    <row r="295" spans="1:7" ht="16.2" hidden="1" customHeight="1" x14ac:dyDescent="0.3">
      <c r="A295" s="169"/>
      <c r="B295" s="17"/>
      <c r="C295" s="17"/>
      <c r="D295" s="17"/>
      <c r="E295" s="17"/>
      <c r="F295" s="17"/>
      <c r="G295" s="17"/>
    </row>
    <row r="296" spans="1:7" ht="15.75" hidden="1" customHeight="1" x14ac:dyDescent="0.3">
      <c r="A296" s="169"/>
      <c r="B296" s="17"/>
      <c r="C296" s="17"/>
      <c r="D296" s="17"/>
      <c r="E296" s="17"/>
      <c r="F296" s="17"/>
      <c r="G296" s="17"/>
    </row>
    <row r="297" spans="1:7" ht="35.25" customHeight="1" x14ac:dyDescent="0.3">
      <c r="A297" s="441" t="s">
        <v>392</v>
      </c>
      <c r="B297" s="441"/>
      <c r="C297" s="441"/>
      <c r="D297" s="441"/>
      <c r="E297" s="441"/>
      <c r="F297" s="441"/>
      <c r="G297" s="441"/>
    </row>
    <row r="298" spans="1:7" ht="20.25" customHeight="1" x14ac:dyDescent="0.3">
      <c r="A298" s="7"/>
    </row>
    <row r="299" spans="1:7" ht="20.25" customHeight="1" x14ac:dyDescent="0.35">
      <c r="A299" s="7" t="s">
        <v>144</v>
      </c>
      <c r="B299" s="8">
        <v>244</v>
      </c>
    </row>
    <row r="300" spans="1:7" ht="19.95" customHeight="1" x14ac:dyDescent="0.3">
      <c r="A300" s="6"/>
    </row>
    <row r="301" spans="1:7" ht="20.399999999999999" customHeight="1" x14ac:dyDescent="0.3">
      <c r="A301" s="416" t="s">
        <v>85</v>
      </c>
      <c r="B301" s="416"/>
      <c r="C301" s="416"/>
      <c r="D301" s="416" t="s">
        <v>130</v>
      </c>
      <c r="E301" s="416"/>
      <c r="F301" s="513" t="s">
        <v>131</v>
      </c>
      <c r="G301" s="513"/>
    </row>
    <row r="302" spans="1:7" ht="15" customHeight="1" x14ac:dyDescent="0.35">
      <c r="A302" s="416">
        <v>1</v>
      </c>
      <c r="B302" s="416"/>
      <c r="C302" s="416"/>
      <c r="D302" s="476">
        <v>2</v>
      </c>
      <c r="E302" s="476"/>
      <c r="F302" s="476">
        <v>3</v>
      </c>
      <c r="G302" s="476"/>
    </row>
    <row r="303" spans="1:7" ht="31.5" customHeight="1" x14ac:dyDescent="0.3">
      <c r="A303" s="508" t="s">
        <v>393</v>
      </c>
      <c r="B303" s="508"/>
      <c r="C303" s="508"/>
      <c r="D303" s="509">
        <v>12</v>
      </c>
      <c r="E303" s="509"/>
      <c r="F303" s="460">
        <v>180000</v>
      </c>
      <c r="G303" s="460"/>
    </row>
    <row r="304" spans="1:7" ht="31.5" customHeight="1" x14ac:dyDescent="0.3">
      <c r="A304" s="508" t="s">
        <v>394</v>
      </c>
      <c r="B304" s="508"/>
      <c r="C304" s="508"/>
      <c r="D304" s="509">
        <v>12</v>
      </c>
      <c r="E304" s="509"/>
      <c r="F304" s="460">
        <v>100000</v>
      </c>
      <c r="G304" s="460"/>
    </row>
    <row r="305" spans="1:7" ht="18" customHeight="1" x14ac:dyDescent="0.3">
      <c r="A305" s="508" t="s">
        <v>395</v>
      </c>
      <c r="B305" s="508"/>
      <c r="C305" s="508"/>
      <c r="D305" s="509">
        <v>2</v>
      </c>
      <c r="E305" s="509"/>
      <c r="F305" s="460">
        <v>30000</v>
      </c>
      <c r="G305" s="460"/>
    </row>
    <row r="306" spans="1:7" ht="19.5" customHeight="1" x14ac:dyDescent="0.3">
      <c r="A306" s="508" t="s">
        <v>396</v>
      </c>
      <c r="B306" s="508"/>
      <c r="C306" s="508"/>
      <c r="D306" s="509">
        <v>5</v>
      </c>
      <c r="E306" s="509"/>
      <c r="F306" s="460">
        <f>1280000+335000+500000+345000+500000+1000000</f>
        <v>3960000</v>
      </c>
      <c r="G306" s="460"/>
    </row>
    <row r="307" spans="1:7" ht="18" customHeight="1" x14ac:dyDescent="0.3">
      <c r="A307" s="508" t="s">
        <v>135</v>
      </c>
      <c r="B307" s="508"/>
      <c r="C307" s="508"/>
      <c r="D307" s="509">
        <v>2</v>
      </c>
      <c r="E307" s="509"/>
      <c r="F307" s="460">
        <v>100000</v>
      </c>
      <c r="G307" s="460"/>
    </row>
    <row r="308" spans="1:7" ht="18" customHeight="1" x14ac:dyDescent="0.3">
      <c r="A308" s="508" t="s">
        <v>397</v>
      </c>
      <c r="B308" s="508"/>
      <c r="C308" s="508"/>
      <c r="D308" s="509">
        <v>1</v>
      </c>
      <c r="E308" s="509"/>
      <c r="F308" s="460">
        <v>100000</v>
      </c>
      <c r="G308" s="460"/>
    </row>
    <row r="309" spans="1:7" ht="18" customHeight="1" x14ac:dyDescent="0.3">
      <c r="A309" s="508" t="s">
        <v>398</v>
      </c>
      <c r="B309" s="508"/>
      <c r="C309" s="508"/>
      <c r="D309" s="509">
        <v>1</v>
      </c>
      <c r="E309" s="509"/>
      <c r="F309" s="460">
        <v>100000</v>
      </c>
      <c r="G309" s="460"/>
    </row>
    <row r="310" spans="1:7" ht="18" customHeight="1" x14ac:dyDescent="0.3">
      <c r="A310" s="508" t="s">
        <v>399</v>
      </c>
      <c r="B310" s="508"/>
      <c r="C310" s="508"/>
      <c r="D310" s="509">
        <v>1</v>
      </c>
      <c r="E310" s="509"/>
      <c r="F310" s="460">
        <v>150000</v>
      </c>
      <c r="G310" s="460"/>
    </row>
    <row r="311" spans="1:7" ht="18" customHeight="1" x14ac:dyDescent="0.3">
      <c r="A311" s="411" t="s">
        <v>361</v>
      </c>
      <c r="B311" s="411"/>
      <c r="C311" s="411"/>
      <c r="D311" s="474"/>
      <c r="E311" s="474"/>
      <c r="F311" s="510">
        <f>'платные на 2022 год '!D56</f>
        <v>4720000</v>
      </c>
      <c r="G311" s="510"/>
    </row>
    <row r="312" spans="1:7" ht="18" customHeight="1" x14ac:dyDescent="0.3">
      <c r="A312" s="27"/>
    </row>
    <row r="313" spans="1:7" ht="18" hidden="1" customHeight="1" x14ac:dyDescent="0.3">
      <c r="A313" s="27"/>
    </row>
    <row r="314" spans="1:7" ht="18" hidden="1" customHeight="1" x14ac:dyDescent="0.3">
      <c r="A314" s="27"/>
    </row>
    <row r="315" spans="1:7" ht="18" hidden="1" customHeight="1" x14ac:dyDescent="0.3">
      <c r="A315" s="27"/>
    </row>
    <row r="316" spans="1:7" ht="15" hidden="1" customHeight="1" x14ac:dyDescent="0.3">
      <c r="A316" s="27"/>
    </row>
    <row r="317" spans="1:7" ht="18" hidden="1" x14ac:dyDescent="0.3">
      <c r="A317" s="27"/>
    </row>
    <row r="318" spans="1:7" ht="18" hidden="1" customHeight="1" x14ac:dyDescent="0.3">
      <c r="A318" s="27"/>
    </row>
    <row r="319" spans="1:7" ht="16.5" hidden="1" customHeight="1" x14ac:dyDescent="0.3">
      <c r="A319" s="27"/>
    </row>
    <row r="320" spans="1:7" ht="15.75" customHeight="1" x14ac:dyDescent="0.3">
      <c r="A320" s="415" t="s">
        <v>220</v>
      </c>
      <c r="B320" s="415"/>
      <c r="C320" s="415"/>
      <c r="D320" s="415"/>
      <c r="E320" s="415"/>
      <c r="F320" s="415"/>
      <c r="G320" s="415"/>
    </row>
    <row r="321" spans="1:7" ht="19.5" customHeight="1" x14ac:dyDescent="0.3">
      <c r="A321" s="7"/>
    </row>
    <row r="322" spans="1:7" ht="15.75" hidden="1" customHeight="1" x14ac:dyDescent="0.35">
      <c r="A322" s="7" t="s">
        <v>144</v>
      </c>
      <c r="B322" s="8">
        <v>243</v>
      </c>
    </row>
    <row r="323" spans="1:7" ht="17.399999999999999" hidden="1" x14ac:dyDescent="0.3">
      <c r="A323" s="6"/>
    </row>
    <row r="324" spans="1:7" ht="18.75" hidden="1" customHeight="1" x14ac:dyDescent="0.3">
      <c r="A324" s="416" t="s">
        <v>85</v>
      </c>
      <c r="B324" s="416"/>
      <c r="C324" s="416"/>
      <c r="D324" s="416" t="s">
        <v>136</v>
      </c>
      <c r="E324" s="416"/>
      <c r="F324" s="416" t="s">
        <v>137</v>
      </c>
      <c r="G324" s="416"/>
    </row>
    <row r="325" spans="1:7" ht="18.600000000000001" hidden="1" customHeight="1" x14ac:dyDescent="0.35">
      <c r="A325" s="408">
        <v>1</v>
      </c>
      <c r="B325" s="409"/>
      <c r="C325" s="410"/>
      <c r="D325" s="422">
        <v>2</v>
      </c>
      <c r="E325" s="423"/>
      <c r="F325" s="422">
        <v>3</v>
      </c>
      <c r="G325" s="423"/>
    </row>
    <row r="326" spans="1:7" ht="18" hidden="1" x14ac:dyDescent="0.3">
      <c r="A326" s="412" t="s">
        <v>467</v>
      </c>
      <c r="B326" s="413"/>
      <c r="C326" s="414"/>
      <c r="D326" s="511">
        <v>4</v>
      </c>
      <c r="E326" s="512"/>
      <c r="F326" s="420">
        <f>'платные на 2022 год '!E61</f>
        <v>160000</v>
      </c>
      <c r="G326" s="421"/>
    </row>
    <row r="327" spans="1:7" ht="18" hidden="1" x14ac:dyDescent="0.3">
      <c r="A327" s="26"/>
      <c r="B327" s="26"/>
      <c r="C327" s="26"/>
      <c r="D327" s="328"/>
      <c r="E327" s="328"/>
      <c r="F327" s="228"/>
      <c r="G327" s="228"/>
    </row>
    <row r="328" spans="1:7" ht="18.75" customHeight="1" x14ac:dyDescent="0.35">
      <c r="A328" s="7" t="s">
        <v>144</v>
      </c>
      <c r="B328" s="8">
        <v>244</v>
      </c>
    </row>
    <row r="329" spans="1:7" ht="17.399999999999999" x14ac:dyDescent="0.3">
      <c r="A329" s="6"/>
    </row>
    <row r="330" spans="1:7" ht="36" x14ac:dyDescent="0.3">
      <c r="A330" s="408" t="s">
        <v>85</v>
      </c>
      <c r="B330" s="409"/>
      <c r="C330" s="409"/>
      <c r="D330" s="410"/>
      <c r="E330" s="254" t="s">
        <v>136</v>
      </c>
      <c r="F330" s="416" t="s">
        <v>137</v>
      </c>
      <c r="G330" s="416"/>
    </row>
    <row r="331" spans="1:7" ht="18" x14ac:dyDescent="0.35">
      <c r="A331" s="408">
        <v>1</v>
      </c>
      <c r="B331" s="409"/>
      <c r="C331" s="409"/>
      <c r="D331" s="410"/>
      <c r="E331" s="255">
        <v>2</v>
      </c>
      <c r="F331" s="476">
        <v>3</v>
      </c>
      <c r="G331" s="476"/>
    </row>
    <row r="332" spans="1:7" ht="33" customHeight="1" x14ac:dyDescent="0.3">
      <c r="A332" s="505" t="s">
        <v>400</v>
      </c>
      <c r="B332" s="506"/>
      <c r="C332" s="506"/>
      <c r="D332" s="507"/>
      <c r="E332" s="259">
        <v>1</v>
      </c>
      <c r="F332" s="461">
        <v>2000000</v>
      </c>
      <c r="G332" s="461"/>
    </row>
    <row r="333" spans="1:7" ht="33" customHeight="1" x14ac:dyDescent="0.3">
      <c r="A333" s="505" t="s">
        <v>401</v>
      </c>
      <c r="B333" s="506"/>
      <c r="C333" s="506"/>
      <c r="D333" s="507"/>
      <c r="E333" s="259">
        <v>45</v>
      </c>
      <c r="F333" s="461">
        <f>1721057+250000+440000+500000+1000000+780000</f>
        <v>4691057</v>
      </c>
      <c r="G333" s="461"/>
    </row>
    <row r="334" spans="1:7" ht="27.6" customHeight="1" x14ac:dyDescent="0.3">
      <c r="A334" s="505" t="s">
        <v>402</v>
      </c>
      <c r="B334" s="506"/>
      <c r="C334" s="506"/>
      <c r="D334" s="507"/>
      <c r="E334" s="259">
        <v>1</v>
      </c>
      <c r="F334" s="461">
        <v>55000</v>
      </c>
      <c r="G334" s="461"/>
    </row>
    <row r="335" spans="1:7" ht="16.2" customHeight="1" x14ac:dyDescent="0.3">
      <c r="A335" s="505" t="s">
        <v>403</v>
      </c>
      <c r="B335" s="506"/>
      <c r="C335" s="506"/>
      <c r="D335" s="507"/>
      <c r="E335" s="259">
        <v>1</v>
      </c>
      <c r="F335" s="461">
        <v>350000</v>
      </c>
      <c r="G335" s="461"/>
    </row>
    <row r="336" spans="1:7" ht="18" customHeight="1" x14ac:dyDescent="0.3">
      <c r="A336" s="505" t="s">
        <v>404</v>
      </c>
      <c r="B336" s="506"/>
      <c r="C336" s="506"/>
      <c r="D336" s="507"/>
      <c r="E336" s="259">
        <v>1</v>
      </c>
      <c r="F336" s="461">
        <v>30000</v>
      </c>
      <c r="G336" s="461"/>
    </row>
    <row r="337" spans="1:8" ht="30.75" customHeight="1" x14ac:dyDescent="0.3">
      <c r="A337" s="505" t="s">
        <v>405</v>
      </c>
      <c r="B337" s="506"/>
      <c r="C337" s="506"/>
      <c r="D337" s="507"/>
      <c r="E337" s="259">
        <v>1</v>
      </c>
      <c r="F337" s="461">
        <v>55000</v>
      </c>
      <c r="G337" s="461"/>
    </row>
    <row r="338" spans="1:8" ht="33.75" customHeight="1" x14ac:dyDescent="0.3">
      <c r="A338" s="505" t="s">
        <v>406</v>
      </c>
      <c r="B338" s="506"/>
      <c r="C338" s="506"/>
      <c r="D338" s="507"/>
      <c r="E338" s="259">
        <v>2</v>
      </c>
      <c r="F338" s="461">
        <v>90000</v>
      </c>
      <c r="G338" s="461"/>
    </row>
    <row r="339" spans="1:8" ht="18" x14ac:dyDescent="0.3">
      <c r="A339" s="505" t="s">
        <v>407</v>
      </c>
      <c r="B339" s="506"/>
      <c r="C339" s="506"/>
      <c r="D339" s="507"/>
      <c r="E339" s="259">
        <v>1</v>
      </c>
      <c r="F339" s="461">
        <v>40000</v>
      </c>
      <c r="G339" s="461"/>
    </row>
    <row r="340" spans="1:8" ht="18" x14ac:dyDescent="0.3">
      <c r="A340" s="505" t="s">
        <v>408</v>
      </c>
      <c r="B340" s="506"/>
      <c r="C340" s="506"/>
      <c r="D340" s="507"/>
      <c r="E340" s="259">
        <v>2</v>
      </c>
      <c r="F340" s="461">
        <f>100000-30000+100000</f>
        <v>170000</v>
      </c>
      <c r="G340" s="461"/>
      <c r="H340" s="44"/>
    </row>
    <row r="341" spans="1:8" ht="17.25" customHeight="1" x14ac:dyDescent="0.3">
      <c r="A341" s="505" t="s">
        <v>409</v>
      </c>
      <c r="B341" s="506"/>
      <c r="C341" s="506"/>
      <c r="D341" s="507"/>
      <c r="E341" s="258">
        <v>1</v>
      </c>
      <c r="F341" s="460">
        <v>80000</v>
      </c>
      <c r="G341" s="460"/>
    </row>
    <row r="342" spans="1:8" ht="18" x14ac:dyDescent="0.3">
      <c r="A342" s="505" t="s">
        <v>139</v>
      </c>
      <c r="B342" s="506"/>
      <c r="C342" s="506"/>
      <c r="D342" s="507"/>
      <c r="E342" s="258">
        <v>1</v>
      </c>
      <c r="F342" s="460">
        <v>180000</v>
      </c>
      <c r="G342" s="460"/>
    </row>
    <row r="343" spans="1:8" ht="18" x14ac:dyDescent="0.3">
      <c r="A343" s="505" t="s">
        <v>140</v>
      </c>
      <c r="B343" s="506"/>
      <c r="C343" s="506"/>
      <c r="D343" s="507"/>
      <c r="E343" s="258">
        <v>1</v>
      </c>
      <c r="F343" s="460">
        <v>45000</v>
      </c>
      <c r="G343" s="460"/>
    </row>
    <row r="344" spans="1:8" ht="18" x14ac:dyDescent="0.3">
      <c r="A344" s="505" t="s">
        <v>366</v>
      </c>
      <c r="B344" s="506"/>
      <c r="C344" s="506"/>
      <c r="D344" s="507"/>
      <c r="E344" s="258">
        <v>3</v>
      </c>
      <c r="F344" s="460">
        <v>25000</v>
      </c>
      <c r="G344" s="460"/>
    </row>
    <row r="345" spans="1:8" ht="18" x14ac:dyDescent="0.3">
      <c r="A345" s="408" t="s">
        <v>361</v>
      </c>
      <c r="B345" s="409"/>
      <c r="C345" s="409"/>
      <c r="D345" s="410"/>
      <c r="E345" s="260"/>
      <c r="F345" s="510">
        <f>'платные на 2022 год '!D62</f>
        <v>7811057</v>
      </c>
      <c r="G345" s="510"/>
    </row>
    <row r="346" spans="1:8" ht="17.399999999999999" x14ac:dyDescent="0.3">
      <c r="A346" s="6"/>
      <c r="G346" s="44"/>
    </row>
    <row r="347" spans="1:8" ht="17.399999999999999" x14ac:dyDescent="0.3">
      <c r="A347" s="6"/>
      <c r="G347" s="44"/>
    </row>
    <row r="348" spans="1:8" ht="17.399999999999999" x14ac:dyDescent="0.3">
      <c r="A348" s="6"/>
      <c r="G348" s="44"/>
    </row>
    <row r="349" spans="1:8" ht="17.399999999999999" x14ac:dyDescent="0.3">
      <c r="A349" s="6"/>
      <c r="G349" s="44"/>
    </row>
    <row r="350" spans="1:8" ht="17.399999999999999" hidden="1" x14ac:dyDescent="0.3">
      <c r="A350" s="6"/>
      <c r="G350" s="44"/>
    </row>
    <row r="351" spans="1:8" ht="17.399999999999999" hidden="1" x14ac:dyDescent="0.3">
      <c r="A351" s="6"/>
      <c r="G351" s="44"/>
    </row>
    <row r="352" spans="1:8" ht="17.399999999999999" hidden="1" x14ac:dyDescent="0.3">
      <c r="A352" s="6"/>
      <c r="G352" s="44"/>
    </row>
    <row r="353" spans="1:7" ht="19.5" customHeight="1" x14ac:dyDescent="0.3">
      <c r="A353" s="415" t="s">
        <v>221</v>
      </c>
      <c r="B353" s="415"/>
      <c r="C353" s="415"/>
      <c r="D353" s="415"/>
      <c r="E353" s="415"/>
      <c r="F353" s="415"/>
      <c r="G353" s="415"/>
    </row>
    <row r="354" spans="1:7" ht="18" x14ac:dyDescent="0.3">
      <c r="A354" s="7"/>
    </row>
    <row r="355" spans="1:7" ht="18" x14ac:dyDescent="0.35">
      <c r="A355" s="7" t="s">
        <v>144</v>
      </c>
      <c r="B355" s="8">
        <v>244</v>
      </c>
    </row>
    <row r="356" spans="1:7" ht="17.399999999999999" x14ac:dyDescent="0.3">
      <c r="A356" s="6"/>
    </row>
    <row r="357" spans="1:7" ht="18" x14ac:dyDescent="0.3">
      <c r="A357" s="408" t="s">
        <v>85</v>
      </c>
      <c r="B357" s="410"/>
      <c r="C357" s="408" t="s">
        <v>136</v>
      </c>
      <c r="D357" s="410"/>
      <c r="E357" s="408" t="s">
        <v>137</v>
      </c>
      <c r="F357" s="409"/>
      <c r="G357" s="410"/>
    </row>
    <row r="358" spans="1:7" ht="18" x14ac:dyDescent="0.35">
      <c r="A358" s="408">
        <v>1</v>
      </c>
      <c r="B358" s="410"/>
      <c r="C358" s="408">
        <v>2</v>
      </c>
      <c r="D358" s="410"/>
      <c r="E358" s="422">
        <v>3</v>
      </c>
      <c r="F358" s="450"/>
      <c r="G358" s="423"/>
    </row>
    <row r="359" spans="1:7" ht="18" x14ac:dyDescent="0.35">
      <c r="A359" s="412" t="s">
        <v>25</v>
      </c>
      <c r="B359" s="414"/>
      <c r="C359" s="408">
        <v>2</v>
      </c>
      <c r="D359" s="410"/>
      <c r="E359" s="517">
        <f>'платные на 2022 год '!D63</f>
        <v>19811.989999999998</v>
      </c>
      <c r="F359" s="518"/>
      <c r="G359" s="519"/>
    </row>
    <row r="360" spans="1:7" ht="15" x14ac:dyDescent="0.3">
      <c r="A360" s="21"/>
    </row>
    <row r="361" spans="1:7" ht="17.399999999999999" x14ac:dyDescent="0.3">
      <c r="A361" s="415" t="s">
        <v>223</v>
      </c>
      <c r="B361" s="415"/>
      <c r="C361" s="415"/>
      <c r="D361" s="415"/>
      <c r="E361" s="415"/>
      <c r="F361" s="415"/>
      <c r="G361" s="415"/>
    </row>
    <row r="362" spans="1:7" ht="18" x14ac:dyDescent="0.3">
      <c r="A362" s="7"/>
    </row>
    <row r="363" spans="1:7" ht="18" x14ac:dyDescent="0.35">
      <c r="A363" s="7" t="s">
        <v>144</v>
      </c>
      <c r="B363" s="8">
        <v>244</v>
      </c>
    </row>
    <row r="364" spans="1:7" ht="17.399999999999999" x14ac:dyDescent="0.3">
      <c r="A364" s="6"/>
    </row>
    <row r="365" spans="1:7" ht="18" x14ac:dyDescent="0.3">
      <c r="A365" s="416" t="s">
        <v>85</v>
      </c>
      <c r="B365" s="416"/>
      <c r="C365" s="115" t="s">
        <v>141</v>
      </c>
      <c r="D365" s="416" t="s">
        <v>142</v>
      </c>
      <c r="E365" s="416"/>
      <c r="F365" s="416" t="s">
        <v>149</v>
      </c>
      <c r="G365" s="416"/>
    </row>
    <row r="366" spans="1:7" ht="18" x14ac:dyDescent="0.3">
      <c r="A366" s="416">
        <v>1</v>
      </c>
      <c r="B366" s="416"/>
      <c r="C366" s="115">
        <v>2</v>
      </c>
      <c r="D366" s="416">
        <v>3</v>
      </c>
      <c r="E366" s="416"/>
      <c r="F366" s="416">
        <v>4</v>
      </c>
      <c r="G366" s="416"/>
    </row>
    <row r="367" spans="1:7" ht="18" x14ac:dyDescent="0.3">
      <c r="A367" s="444" t="s">
        <v>410</v>
      </c>
      <c r="B367" s="444"/>
      <c r="C367" s="150">
        <v>20</v>
      </c>
      <c r="D367" s="461">
        <v>30000</v>
      </c>
      <c r="E367" s="461"/>
      <c r="F367" s="460">
        <f t="shared" ref="F367:F378" si="14">C367*D367</f>
        <v>600000</v>
      </c>
      <c r="G367" s="460"/>
    </row>
    <row r="368" spans="1:7" ht="18" x14ac:dyDescent="0.3">
      <c r="A368" s="458" t="s">
        <v>482</v>
      </c>
      <c r="B368" s="459"/>
      <c r="C368" s="360">
        <v>1</v>
      </c>
      <c r="D368" s="520">
        <v>2500000</v>
      </c>
      <c r="E368" s="521"/>
      <c r="F368" s="522">
        <f>C368*D368</f>
        <v>2500000</v>
      </c>
      <c r="G368" s="523"/>
    </row>
    <row r="369" spans="1:7" ht="19.2" customHeight="1" x14ac:dyDescent="0.3">
      <c r="A369" s="444" t="s">
        <v>411</v>
      </c>
      <c r="B369" s="444"/>
      <c r="C369" s="150">
        <v>5</v>
      </c>
      <c r="D369" s="461">
        <v>120000</v>
      </c>
      <c r="E369" s="461"/>
      <c r="F369" s="460">
        <f t="shared" si="14"/>
        <v>600000</v>
      </c>
      <c r="G369" s="460"/>
    </row>
    <row r="370" spans="1:7" ht="18" x14ac:dyDescent="0.3">
      <c r="A370" s="444" t="s">
        <v>412</v>
      </c>
      <c r="B370" s="444"/>
      <c r="C370" s="150">
        <v>10</v>
      </c>
      <c r="D370" s="461">
        <v>35000</v>
      </c>
      <c r="E370" s="461"/>
      <c r="F370" s="460">
        <f>C370*D370</f>
        <v>350000</v>
      </c>
      <c r="G370" s="460"/>
    </row>
    <row r="371" spans="1:7" ht="18" x14ac:dyDescent="0.3">
      <c r="A371" s="444" t="s">
        <v>413</v>
      </c>
      <c r="B371" s="444"/>
      <c r="C371" s="150">
        <v>2</v>
      </c>
      <c r="D371" s="461">
        <v>9500</v>
      </c>
      <c r="E371" s="461"/>
      <c r="F371" s="460">
        <f t="shared" si="14"/>
        <v>19000</v>
      </c>
      <c r="G371" s="460"/>
    </row>
    <row r="372" spans="1:7" ht="18" x14ac:dyDescent="0.3">
      <c r="A372" s="444" t="s">
        <v>414</v>
      </c>
      <c r="B372" s="444"/>
      <c r="C372" s="168">
        <v>5</v>
      </c>
      <c r="D372" s="460">
        <v>30000</v>
      </c>
      <c r="E372" s="460"/>
      <c r="F372" s="460">
        <f t="shared" si="14"/>
        <v>150000</v>
      </c>
      <c r="G372" s="460"/>
    </row>
    <row r="373" spans="1:7" ht="18" x14ac:dyDescent="0.3">
      <c r="A373" s="444" t="s">
        <v>415</v>
      </c>
      <c r="B373" s="444"/>
      <c r="C373" s="168">
        <v>10</v>
      </c>
      <c r="D373" s="460">
        <v>60000</v>
      </c>
      <c r="E373" s="460"/>
      <c r="F373" s="460">
        <f t="shared" si="14"/>
        <v>600000</v>
      </c>
      <c r="G373" s="460"/>
    </row>
    <row r="374" spans="1:7" ht="18" x14ac:dyDescent="0.3">
      <c r="A374" s="444" t="s">
        <v>416</v>
      </c>
      <c r="B374" s="444"/>
      <c r="C374" s="168">
        <v>3</v>
      </c>
      <c r="D374" s="460">
        <v>11000</v>
      </c>
      <c r="E374" s="460"/>
      <c r="F374" s="460">
        <f t="shared" si="14"/>
        <v>33000</v>
      </c>
      <c r="G374" s="460"/>
    </row>
    <row r="375" spans="1:7" ht="18" x14ac:dyDescent="0.3">
      <c r="A375" s="444" t="s">
        <v>417</v>
      </c>
      <c r="B375" s="444"/>
      <c r="C375" s="168">
        <v>6</v>
      </c>
      <c r="D375" s="460">
        <v>3000</v>
      </c>
      <c r="E375" s="460"/>
      <c r="F375" s="460">
        <f t="shared" si="14"/>
        <v>18000</v>
      </c>
      <c r="G375" s="460"/>
    </row>
    <row r="376" spans="1:7" ht="18" x14ac:dyDescent="0.3">
      <c r="A376" s="444" t="s">
        <v>418</v>
      </c>
      <c r="B376" s="444"/>
      <c r="C376" s="168">
        <v>2</v>
      </c>
      <c r="D376" s="460">
        <v>25000</v>
      </c>
      <c r="E376" s="460"/>
      <c r="F376" s="460">
        <f>C376*D376</f>
        <v>50000</v>
      </c>
      <c r="G376" s="460"/>
    </row>
    <row r="377" spans="1:7" ht="18" x14ac:dyDescent="0.3">
      <c r="A377" s="458" t="s">
        <v>481</v>
      </c>
      <c r="B377" s="459"/>
      <c r="C377" s="361">
        <v>1</v>
      </c>
      <c r="D377" s="522">
        <v>300000</v>
      </c>
      <c r="E377" s="523"/>
      <c r="F377" s="522">
        <f>C377*D377</f>
        <v>300000</v>
      </c>
      <c r="G377" s="523"/>
    </row>
    <row r="378" spans="1:7" ht="18" x14ac:dyDescent="0.3">
      <c r="A378" s="463" t="s">
        <v>419</v>
      </c>
      <c r="B378" s="463"/>
      <c r="C378" s="168">
        <v>8</v>
      </c>
      <c r="D378" s="460">
        <v>10000</v>
      </c>
      <c r="E378" s="460"/>
      <c r="F378" s="460">
        <f t="shared" si="14"/>
        <v>80000</v>
      </c>
      <c r="G378" s="460"/>
    </row>
    <row r="379" spans="1:7" ht="18" x14ac:dyDescent="0.3">
      <c r="A379" s="411" t="s">
        <v>361</v>
      </c>
      <c r="B379" s="411"/>
      <c r="C379" s="11"/>
      <c r="D379" s="416"/>
      <c r="E379" s="416"/>
      <c r="F379" s="417">
        <f>'платные на 2022 год '!D95</f>
        <v>5300000</v>
      </c>
      <c r="G379" s="417"/>
    </row>
    <row r="380" spans="1:7" ht="17.399999999999999" x14ac:dyDescent="0.3">
      <c r="A380" s="6"/>
    </row>
    <row r="381" spans="1:7" ht="17.399999999999999" hidden="1" x14ac:dyDescent="0.3">
      <c r="A381" s="6"/>
    </row>
    <row r="382" spans="1:7" ht="17.399999999999999" hidden="1" x14ac:dyDescent="0.3">
      <c r="A382" s="6"/>
    </row>
    <row r="383" spans="1:7" ht="17.399999999999999" hidden="1" x14ac:dyDescent="0.3">
      <c r="A383" s="6"/>
    </row>
    <row r="384" spans="1:7" ht="17.399999999999999" hidden="1" x14ac:dyDescent="0.3">
      <c r="A384" s="6"/>
    </row>
    <row r="385" spans="1:7" ht="17.399999999999999" hidden="1" x14ac:dyDescent="0.3">
      <c r="A385" s="6"/>
    </row>
    <row r="386" spans="1:7" ht="17.399999999999999" hidden="1" x14ac:dyDescent="0.3">
      <c r="A386" s="6"/>
    </row>
    <row r="387" spans="1:7" ht="17.399999999999999" x14ac:dyDescent="0.3">
      <c r="A387" s="424" t="s">
        <v>250</v>
      </c>
      <c r="B387" s="424"/>
      <c r="C387" s="424"/>
      <c r="D387" s="424"/>
      <c r="E387" s="424"/>
      <c r="F387" s="424"/>
      <c r="G387" s="424"/>
    </row>
    <row r="388" spans="1:7" ht="18" x14ac:dyDescent="0.3">
      <c r="A388" s="7"/>
    </row>
    <row r="389" spans="1:7" ht="18" x14ac:dyDescent="0.35">
      <c r="A389" s="7" t="s">
        <v>144</v>
      </c>
      <c r="B389" s="8">
        <v>244</v>
      </c>
    </row>
    <row r="390" spans="1:7" ht="17.399999999999999" x14ac:dyDescent="0.3">
      <c r="A390" s="6"/>
    </row>
    <row r="391" spans="1:7" ht="18" x14ac:dyDescent="0.3">
      <c r="A391" s="416" t="s">
        <v>85</v>
      </c>
      <c r="B391" s="416"/>
      <c r="C391" s="279" t="s">
        <v>141</v>
      </c>
      <c r="D391" s="416" t="s">
        <v>142</v>
      </c>
      <c r="E391" s="416"/>
      <c r="F391" s="416" t="s">
        <v>149</v>
      </c>
      <c r="G391" s="416"/>
    </row>
    <row r="392" spans="1:7" ht="18" x14ac:dyDescent="0.3">
      <c r="A392" s="416">
        <v>1</v>
      </c>
      <c r="B392" s="416"/>
      <c r="C392" s="279">
        <v>2</v>
      </c>
      <c r="D392" s="416">
        <v>3</v>
      </c>
      <c r="E392" s="416"/>
      <c r="F392" s="416">
        <v>4</v>
      </c>
      <c r="G392" s="416"/>
    </row>
    <row r="393" spans="1:7" ht="18" x14ac:dyDescent="0.3">
      <c r="A393" s="411" t="s">
        <v>420</v>
      </c>
      <c r="B393" s="411"/>
      <c r="C393" s="279">
        <v>12</v>
      </c>
      <c r="D393" s="417">
        <v>37500</v>
      </c>
      <c r="E393" s="417"/>
      <c r="F393" s="417">
        <f>C393*D393</f>
        <v>450000</v>
      </c>
      <c r="G393" s="417"/>
    </row>
    <row r="394" spans="1:7" ht="18" x14ac:dyDescent="0.3">
      <c r="A394" s="411" t="s">
        <v>238</v>
      </c>
      <c r="B394" s="411"/>
      <c r="C394" s="278"/>
      <c r="D394" s="417"/>
      <c r="E394" s="417"/>
      <c r="F394" s="417">
        <f>'платные на 2022 год '!D101</f>
        <v>450000</v>
      </c>
      <c r="G394" s="417"/>
    </row>
    <row r="395" spans="1:7" ht="18" x14ac:dyDescent="0.3">
      <c r="A395" s="515" t="s">
        <v>421</v>
      </c>
      <c r="B395" s="515"/>
      <c r="C395" s="280">
        <v>500</v>
      </c>
      <c r="D395" s="427">
        <v>1000</v>
      </c>
      <c r="E395" s="427"/>
      <c r="F395" s="516">
        <f>C395*D395</f>
        <v>500000</v>
      </c>
      <c r="G395" s="516"/>
    </row>
    <row r="396" spans="1:7" ht="18" x14ac:dyDescent="0.3">
      <c r="A396" s="411" t="s">
        <v>239</v>
      </c>
      <c r="B396" s="411"/>
      <c r="C396" s="278"/>
      <c r="D396" s="417"/>
      <c r="E396" s="417"/>
      <c r="F396" s="417">
        <f>'платные на 2022 год '!D102</f>
        <v>500000</v>
      </c>
      <c r="G396" s="417"/>
    </row>
    <row r="397" spans="1:7" ht="18" x14ac:dyDescent="0.3">
      <c r="A397" s="515" t="s">
        <v>422</v>
      </c>
      <c r="B397" s="515"/>
      <c r="C397" s="280">
        <v>350</v>
      </c>
      <c r="D397" s="427">
        <v>1000</v>
      </c>
      <c r="E397" s="427"/>
      <c r="F397" s="516">
        <f>C397*D397</f>
        <v>350000</v>
      </c>
      <c r="G397" s="516"/>
    </row>
    <row r="398" spans="1:7" ht="18" x14ac:dyDescent="0.3">
      <c r="A398" s="411" t="s">
        <v>240</v>
      </c>
      <c r="B398" s="411"/>
      <c r="C398" s="278"/>
      <c r="D398" s="417"/>
      <c r="E398" s="417"/>
      <c r="F398" s="417">
        <f>'платные на 2022 год '!D103</f>
        <v>350000</v>
      </c>
      <c r="G398" s="417"/>
    </row>
    <row r="399" spans="1:7" ht="18" x14ac:dyDescent="0.3">
      <c r="A399" s="515" t="s">
        <v>423</v>
      </c>
      <c r="B399" s="515"/>
      <c r="C399" s="280">
        <v>4600</v>
      </c>
      <c r="D399" s="427">
        <v>1009.95</v>
      </c>
      <c r="E399" s="427"/>
      <c r="F399" s="516">
        <f>C399*D399+3.58</f>
        <v>4645773.58</v>
      </c>
      <c r="G399" s="516"/>
    </row>
    <row r="400" spans="1:7" ht="18" x14ac:dyDescent="0.3">
      <c r="A400" s="411" t="s">
        <v>241</v>
      </c>
      <c r="B400" s="411"/>
      <c r="C400" s="278"/>
      <c r="D400" s="417"/>
      <c r="E400" s="417"/>
      <c r="F400" s="417">
        <f>'платные на 2022 год '!D104</f>
        <v>4645773.58</v>
      </c>
      <c r="G400" s="417"/>
    </row>
    <row r="401" spans="1:7" ht="18" x14ac:dyDescent="0.3">
      <c r="A401" s="515" t="s">
        <v>424</v>
      </c>
      <c r="B401" s="515"/>
      <c r="C401" s="280">
        <v>100</v>
      </c>
      <c r="D401" s="524">
        <v>4400</v>
      </c>
      <c r="E401" s="524"/>
      <c r="F401" s="516">
        <f>C401*D401</f>
        <v>440000</v>
      </c>
      <c r="G401" s="516"/>
    </row>
    <row r="402" spans="1:7" ht="18" x14ac:dyDescent="0.3">
      <c r="A402" s="411" t="s">
        <v>242</v>
      </c>
      <c r="B402" s="411"/>
      <c r="C402" s="278"/>
      <c r="D402" s="417"/>
      <c r="E402" s="417"/>
      <c r="F402" s="417">
        <f>'платные на 2022 год '!D106</f>
        <v>440000</v>
      </c>
      <c r="G402" s="417"/>
    </row>
    <row r="403" spans="1:7" ht="18" x14ac:dyDescent="0.3">
      <c r="A403" s="13"/>
      <c r="B403" s="14"/>
      <c r="C403" s="14"/>
      <c r="D403" s="14"/>
      <c r="E403" s="14"/>
      <c r="F403" s="72"/>
      <c r="G403" s="72"/>
    </row>
    <row r="404" spans="1:7" ht="18" x14ac:dyDescent="0.35">
      <c r="A404" s="395" t="s">
        <v>150</v>
      </c>
      <c r="B404" s="395"/>
      <c r="C404" s="400"/>
      <c r="D404" s="400"/>
      <c r="E404" s="8"/>
      <c r="F404" s="400" t="s">
        <v>267</v>
      </c>
      <c r="G404" s="400"/>
    </row>
    <row r="405" spans="1:7" ht="18" x14ac:dyDescent="0.35">
      <c r="A405" s="27"/>
      <c r="B405" s="8"/>
      <c r="C405" s="401" t="s">
        <v>53</v>
      </c>
      <c r="D405" s="401"/>
      <c r="E405" s="8"/>
      <c r="F405" s="401" t="s">
        <v>54</v>
      </c>
      <c r="G405" s="401"/>
    </row>
    <row r="406" spans="1:7" ht="18" x14ac:dyDescent="0.35">
      <c r="A406" s="27"/>
      <c r="B406" s="8"/>
      <c r="C406" s="59"/>
      <c r="D406" s="59"/>
      <c r="E406" s="8"/>
      <c r="F406" s="59"/>
      <c r="G406" s="59"/>
    </row>
    <row r="407" spans="1:7" ht="18" x14ac:dyDescent="0.35">
      <c r="A407" s="396" t="s">
        <v>151</v>
      </c>
      <c r="B407" s="396"/>
      <c r="C407" s="400"/>
      <c r="D407" s="400"/>
      <c r="E407" s="8"/>
      <c r="F407" s="400" t="s">
        <v>464</v>
      </c>
      <c r="G407" s="400"/>
    </row>
    <row r="408" spans="1:7" ht="18" x14ac:dyDescent="0.35">
      <c r="A408" s="27"/>
      <c r="B408" s="8"/>
      <c r="C408" s="401" t="s">
        <v>53</v>
      </c>
      <c r="D408" s="401"/>
      <c r="E408" s="8"/>
      <c r="F408" s="401" t="s">
        <v>54</v>
      </c>
      <c r="G408" s="401"/>
    </row>
    <row r="409" spans="1:7" ht="18" x14ac:dyDescent="0.35">
      <c r="A409" s="27"/>
      <c r="B409" s="8"/>
      <c r="C409" s="59"/>
      <c r="D409" s="59"/>
      <c r="E409" s="8"/>
      <c r="F409" s="59"/>
      <c r="G409" s="59"/>
    </row>
    <row r="410" spans="1:7" ht="18" x14ac:dyDescent="0.35">
      <c r="A410" s="395" t="s">
        <v>152</v>
      </c>
      <c r="B410" s="395"/>
      <c r="C410" s="400"/>
      <c r="D410" s="400"/>
      <c r="E410" s="8"/>
      <c r="F410" s="400" t="s">
        <v>268</v>
      </c>
      <c r="G410" s="400"/>
    </row>
    <row r="411" spans="1:7" ht="18" x14ac:dyDescent="0.35">
      <c r="A411" s="27"/>
      <c r="B411" s="8"/>
      <c r="C411" s="401" t="s">
        <v>53</v>
      </c>
      <c r="D411" s="401"/>
      <c r="E411" s="8"/>
      <c r="F411" s="401" t="s">
        <v>54</v>
      </c>
      <c r="G411" s="401"/>
    </row>
    <row r="412" spans="1:7" ht="18" x14ac:dyDescent="0.35">
      <c r="A412" s="396" t="s">
        <v>433</v>
      </c>
      <c r="B412" s="396"/>
      <c r="C412" s="8"/>
      <c r="D412" s="8"/>
      <c r="E412" s="8"/>
      <c r="F412" s="8"/>
      <c r="G412" s="8"/>
    </row>
    <row r="413" spans="1:7" ht="18" x14ac:dyDescent="0.35">
      <c r="A413" s="396" t="s">
        <v>483</v>
      </c>
      <c r="B413" s="396"/>
      <c r="C413" s="8"/>
      <c r="D413" s="8"/>
      <c r="E413" s="8"/>
      <c r="F413" s="8"/>
      <c r="G413" s="8"/>
    </row>
  </sheetData>
  <mergeCells count="437">
    <mergeCell ref="D325:E325"/>
    <mergeCell ref="F325:G325"/>
    <mergeCell ref="B28:C28"/>
    <mergeCell ref="D28:E28"/>
    <mergeCell ref="B29:C29"/>
    <mergeCell ref="D29:E29"/>
    <mergeCell ref="B30:C30"/>
    <mergeCell ref="D30:E30"/>
    <mergeCell ref="F28:G28"/>
    <mergeCell ref="F29:G29"/>
    <mergeCell ref="F30:G30"/>
    <mergeCell ref="C168:D168"/>
    <mergeCell ref="F168:G168"/>
    <mergeCell ref="C169:D169"/>
    <mergeCell ref="F169:G169"/>
    <mergeCell ref="A171:G171"/>
    <mergeCell ref="F175:G175"/>
    <mergeCell ref="B161:C161"/>
    <mergeCell ref="D161:E161"/>
    <mergeCell ref="F161:G161"/>
    <mergeCell ref="A163:G163"/>
    <mergeCell ref="C167:D167"/>
    <mergeCell ref="F167:G167"/>
    <mergeCell ref="A175:B175"/>
    <mergeCell ref="A22:G22"/>
    <mergeCell ref="B26:C26"/>
    <mergeCell ref="D26:E26"/>
    <mergeCell ref="F26:G26"/>
    <mergeCell ref="B27:C27"/>
    <mergeCell ref="D27:E27"/>
    <mergeCell ref="F27:G27"/>
    <mergeCell ref="B9:C9"/>
    <mergeCell ref="D9:E9"/>
    <mergeCell ref="F9:G9"/>
    <mergeCell ref="B10:C10"/>
    <mergeCell ref="D10:E10"/>
    <mergeCell ref="F10:G10"/>
    <mergeCell ref="F12:G12"/>
    <mergeCell ref="B20:C20"/>
    <mergeCell ref="D20:E20"/>
    <mergeCell ref="F20:G20"/>
    <mergeCell ref="B18:C18"/>
    <mergeCell ref="D18:E18"/>
    <mergeCell ref="A14:G14"/>
    <mergeCell ref="F18:G18"/>
    <mergeCell ref="B19:C19"/>
    <mergeCell ref="D19:E19"/>
    <mergeCell ref="F19:G19"/>
    <mergeCell ref="A1:G1"/>
    <mergeCell ref="A3:G3"/>
    <mergeCell ref="A4:G4"/>
    <mergeCell ref="B8:C8"/>
    <mergeCell ref="D8:E8"/>
    <mergeCell ref="F8:G8"/>
    <mergeCell ref="B11:C11"/>
    <mergeCell ref="D11:E11"/>
    <mergeCell ref="F11:G11"/>
    <mergeCell ref="D175:E175"/>
    <mergeCell ref="A183:G183"/>
    <mergeCell ref="C187:D187"/>
    <mergeCell ref="F187:G187"/>
    <mergeCell ref="C188:D188"/>
    <mergeCell ref="F188:G188"/>
    <mergeCell ref="C189:D189"/>
    <mergeCell ref="F189:G189"/>
    <mergeCell ref="F176:G176"/>
    <mergeCell ref="F177:G177"/>
    <mergeCell ref="A176:B176"/>
    <mergeCell ref="A177:B177"/>
    <mergeCell ref="A178:B178"/>
    <mergeCell ref="F179:G179"/>
    <mergeCell ref="F178:G178"/>
    <mergeCell ref="D177:E177"/>
    <mergeCell ref="D178:E178"/>
    <mergeCell ref="A179:B179"/>
    <mergeCell ref="D179:E179"/>
    <mergeCell ref="D176:E176"/>
    <mergeCell ref="B196:C196"/>
    <mergeCell ref="D196:E196"/>
    <mergeCell ref="F196:G196"/>
    <mergeCell ref="B197:C197"/>
    <mergeCell ref="D197:E197"/>
    <mergeCell ref="F197:G197"/>
    <mergeCell ref="A191:G191"/>
    <mergeCell ref="B195:C195"/>
    <mergeCell ref="D195:E195"/>
    <mergeCell ref="F195:G195"/>
    <mergeCell ref="B204:C204"/>
    <mergeCell ref="D204:E204"/>
    <mergeCell ref="B205:C205"/>
    <mergeCell ref="D205:E205"/>
    <mergeCell ref="A199:G199"/>
    <mergeCell ref="B202:C202"/>
    <mergeCell ref="D202:E202"/>
    <mergeCell ref="F202:G202"/>
    <mergeCell ref="B203:C203"/>
    <mergeCell ref="D203:E203"/>
    <mergeCell ref="F203:G203"/>
    <mergeCell ref="A204:A205"/>
    <mergeCell ref="B211:C211"/>
    <mergeCell ref="D211:E211"/>
    <mergeCell ref="F211:G211"/>
    <mergeCell ref="B209:C209"/>
    <mergeCell ref="D209:E209"/>
    <mergeCell ref="F209:G209"/>
    <mergeCell ref="B210:C210"/>
    <mergeCell ref="D210:E210"/>
    <mergeCell ref="F210:G210"/>
    <mergeCell ref="A253:B253"/>
    <mergeCell ref="A254:B254"/>
    <mergeCell ref="A255:B255"/>
    <mergeCell ref="A244:G244"/>
    <mergeCell ref="A250:B250"/>
    <mergeCell ref="A251:B251"/>
    <mergeCell ref="D255:E255"/>
    <mergeCell ref="F255:G255"/>
    <mergeCell ref="D253:E253"/>
    <mergeCell ref="F253:G253"/>
    <mergeCell ref="D254:E254"/>
    <mergeCell ref="F254:G254"/>
    <mergeCell ref="D251:E251"/>
    <mergeCell ref="F251:G251"/>
    <mergeCell ref="D252:E252"/>
    <mergeCell ref="F252:G252"/>
    <mergeCell ref="D284:E284"/>
    <mergeCell ref="F284:G284"/>
    <mergeCell ref="D285:E285"/>
    <mergeCell ref="F285:G285"/>
    <mergeCell ref="A284:B284"/>
    <mergeCell ref="A285:B285"/>
    <mergeCell ref="A271:B271"/>
    <mergeCell ref="D271:E271"/>
    <mergeCell ref="F271:G271"/>
    <mergeCell ref="A272:B272"/>
    <mergeCell ref="D272:E272"/>
    <mergeCell ref="F272:G272"/>
    <mergeCell ref="A273:B273"/>
    <mergeCell ref="D273:E273"/>
    <mergeCell ref="F273:G273"/>
    <mergeCell ref="A275:B275"/>
    <mergeCell ref="D275:E275"/>
    <mergeCell ref="F275:G275"/>
    <mergeCell ref="A274:B274"/>
    <mergeCell ref="D274:E274"/>
    <mergeCell ref="F274:G274"/>
    <mergeCell ref="A297:G297"/>
    <mergeCell ref="D287:E287"/>
    <mergeCell ref="F287:G287"/>
    <mergeCell ref="D286:E286"/>
    <mergeCell ref="F286:G286"/>
    <mergeCell ref="A286:B286"/>
    <mergeCell ref="A287:B287"/>
    <mergeCell ref="A288:B288"/>
    <mergeCell ref="F288:G288"/>
    <mergeCell ref="D288:E288"/>
    <mergeCell ref="D374:E374"/>
    <mergeCell ref="F374:G374"/>
    <mergeCell ref="A375:B375"/>
    <mergeCell ref="D375:E375"/>
    <mergeCell ref="A378:B378"/>
    <mergeCell ref="D378:E378"/>
    <mergeCell ref="F378:G378"/>
    <mergeCell ref="D371:E371"/>
    <mergeCell ref="F371:G371"/>
    <mergeCell ref="A372:B372"/>
    <mergeCell ref="D372:E372"/>
    <mergeCell ref="F372:G372"/>
    <mergeCell ref="A373:B373"/>
    <mergeCell ref="D373:E373"/>
    <mergeCell ref="F375:G375"/>
    <mergeCell ref="A376:B376"/>
    <mergeCell ref="D376:E376"/>
    <mergeCell ref="F376:G376"/>
    <mergeCell ref="F373:G373"/>
    <mergeCell ref="A374:B374"/>
    <mergeCell ref="A371:B371"/>
    <mergeCell ref="A377:B377"/>
    <mergeCell ref="D377:E377"/>
    <mergeCell ref="F377:G377"/>
    <mergeCell ref="A413:B413"/>
    <mergeCell ref="F204:G205"/>
    <mergeCell ref="C408:D408"/>
    <mergeCell ref="F408:G408"/>
    <mergeCell ref="C410:D410"/>
    <mergeCell ref="F410:G410"/>
    <mergeCell ref="C411:D411"/>
    <mergeCell ref="F411:G411"/>
    <mergeCell ref="C404:D404"/>
    <mergeCell ref="F404:G404"/>
    <mergeCell ref="C405:D405"/>
    <mergeCell ref="F405:G405"/>
    <mergeCell ref="C407:D407"/>
    <mergeCell ref="F407:G407"/>
    <mergeCell ref="D401:E401"/>
    <mergeCell ref="F401:G401"/>
    <mergeCell ref="A309:C309"/>
    <mergeCell ref="D309:E309"/>
    <mergeCell ref="F338:G338"/>
    <mergeCell ref="A361:G361"/>
    <mergeCell ref="D365:E365"/>
    <mergeCell ref="F365:G365"/>
    <mergeCell ref="F344:G344"/>
    <mergeCell ref="F393:G393"/>
    <mergeCell ref="F339:G339"/>
    <mergeCell ref="F340:G340"/>
    <mergeCell ref="F341:G341"/>
    <mergeCell ref="A336:D336"/>
    <mergeCell ref="A337:D337"/>
    <mergeCell ref="A338:D338"/>
    <mergeCell ref="A339:D339"/>
    <mergeCell ref="F345:G345"/>
    <mergeCell ref="A340:D340"/>
    <mergeCell ref="A341:D341"/>
    <mergeCell ref="A342:D342"/>
    <mergeCell ref="A344:D344"/>
    <mergeCell ref="A345:D345"/>
    <mergeCell ref="F337:G337"/>
    <mergeCell ref="F336:G336"/>
    <mergeCell ref="D369:E369"/>
    <mergeCell ref="F369:G369"/>
    <mergeCell ref="D370:E370"/>
    <mergeCell ref="F370:G370"/>
    <mergeCell ref="A367:B367"/>
    <mergeCell ref="A369:B369"/>
    <mergeCell ref="A370:B370"/>
    <mergeCell ref="A359:B359"/>
    <mergeCell ref="C359:D359"/>
    <mergeCell ref="E359:G359"/>
    <mergeCell ref="A365:B365"/>
    <mergeCell ref="D366:E366"/>
    <mergeCell ref="F366:G366"/>
    <mergeCell ref="F367:G367"/>
    <mergeCell ref="A366:B366"/>
    <mergeCell ref="D367:E367"/>
    <mergeCell ref="A368:B368"/>
    <mergeCell ref="D368:E368"/>
    <mergeCell ref="F368:G368"/>
    <mergeCell ref="B12:C12"/>
    <mergeCell ref="D12:E12"/>
    <mergeCell ref="C44:F44"/>
    <mergeCell ref="G44:G46"/>
    <mergeCell ref="C45:C46"/>
    <mergeCell ref="F342:G342"/>
    <mergeCell ref="F343:G343"/>
    <mergeCell ref="F31:G31"/>
    <mergeCell ref="B31:C31"/>
    <mergeCell ref="D31:E31"/>
    <mergeCell ref="B159:C159"/>
    <mergeCell ref="B160:C160"/>
    <mergeCell ref="D159:E159"/>
    <mergeCell ref="D160:E160"/>
    <mergeCell ref="F331:G331"/>
    <mergeCell ref="F335:G335"/>
    <mergeCell ref="F309:G309"/>
    <mergeCell ref="A310:C310"/>
    <mergeCell ref="D310:E310"/>
    <mergeCell ref="F332:G332"/>
    <mergeCell ref="A343:D343"/>
    <mergeCell ref="A307:C307"/>
    <mergeCell ref="D307:E307"/>
    <mergeCell ref="F307:G307"/>
    <mergeCell ref="D402:E402"/>
    <mergeCell ref="F402:G402"/>
    <mergeCell ref="D399:E399"/>
    <mergeCell ref="A353:G353"/>
    <mergeCell ref="A357:B357"/>
    <mergeCell ref="C357:D357"/>
    <mergeCell ref="E357:G357"/>
    <mergeCell ref="A358:B358"/>
    <mergeCell ref="C358:D358"/>
    <mergeCell ref="E358:G358"/>
    <mergeCell ref="F400:G400"/>
    <mergeCell ref="A402:B402"/>
    <mergeCell ref="D397:E397"/>
    <mergeCell ref="F397:G397"/>
    <mergeCell ref="D398:E398"/>
    <mergeCell ref="F398:G398"/>
    <mergeCell ref="D395:E395"/>
    <mergeCell ref="F395:G395"/>
    <mergeCell ref="D396:E396"/>
    <mergeCell ref="F396:G396"/>
    <mergeCell ref="F399:G399"/>
    <mergeCell ref="D400:E400"/>
    <mergeCell ref="D394:E394"/>
    <mergeCell ref="F394:G394"/>
    <mergeCell ref="A412:B412"/>
    <mergeCell ref="A379:B379"/>
    <mergeCell ref="A395:B395"/>
    <mergeCell ref="A397:B397"/>
    <mergeCell ref="A399:B399"/>
    <mergeCell ref="A401:B401"/>
    <mergeCell ref="A391:B391"/>
    <mergeCell ref="A392:B392"/>
    <mergeCell ref="A393:B393"/>
    <mergeCell ref="A394:B394"/>
    <mergeCell ref="A396:B396"/>
    <mergeCell ref="A398:B398"/>
    <mergeCell ref="A400:B400"/>
    <mergeCell ref="A404:B404"/>
    <mergeCell ref="A407:B407"/>
    <mergeCell ref="A410:B410"/>
    <mergeCell ref="A387:G387"/>
    <mergeCell ref="D391:E391"/>
    <mergeCell ref="F391:G391"/>
    <mergeCell ref="D392:E392"/>
    <mergeCell ref="F392:G392"/>
    <mergeCell ref="D379:E379"/>
    <mergeCell ref="F379:G379"/>
    <mergeCell ref="D393:E393"/>
    <mergeCell ref="A38:G38"/>
    <mergeCell ref="A40:G40"/>
    <mergeCell ref="A44:A46"/>
    <mergeCell ref="B44:B46"/>
    <mergeCell ref="F159:G159"/>
    <mergeCell ref="F160:G160"/>
    <mergeCell ref="A152:G152"/>
    <mergeCell ref="A156:A157"/>
    <mergeCell ref="B156:C157"/>
    <mergeCell ref="D156:E157"/>
    <mergeCell ref="F156:G157"/>
    <mergeCell ref="B158:C158"/>
    <mergeCell ref="D158:E158"/>
    <mergeCell ref="F158:G158"/>
    <mergeCell ref="D45:F45"/>
    <mergeCell ref="C141:F141"/>
    <mergeCell ref="A228:G228"/>
    <mergeCell ref="B231:C231"/>
    <mergeCell ref="D231:E231"/>
    <mergeCell ref="F231:G231"/>
    <mergeCell ref="B232:C232"/>
    <mergeCell ref="D232:E232"/>
    <mergeCell ref="F232:G232"/>
    <mergeCell ref="B233:C233"/>
    <mergeCell ref="D233:E233"/>
    <mergeCell ref="F233:G233"/>
    <mergeCell ref="B234:C234"/>
    <mergeCell ref="D234:E234"/>
    <mergeCell ref="F234:G234"/>
    <mergeCell ref="B235:C235"/>
    <mergeCell ref="D235:E235"/>
    <mergeCell ref="F235:G235"/>
    <mergeCell ref="B236:C236"/>
    <mergeCell ref="D236:E236"/>
    <mergeCell ref="F236:G236"/>
    <mergeCell ref="B237:C237"/>
    <mergeCell ref="D237:E237"/>
    <mergeCell ref="F237:G237"/>
    <mergeCell ref="B238:C238"/>
    <mergeCell ref="D238:E238"/>
    <mergeCell ref="F238:G238"/>
    <mergeCell ref="B239:C239"/>
    <mergeCell ref="D239:E239"/>
    <mergeCell ref="F239:G239"/>
    <mergeCell ref="B240:C240"/>
    <mergeCell ref="D240:E240"/>
    <mergeCell ref="F240:G240"/>
    <mergeCell ref="B241:C241"/>
    <mergeCell ref="D241:E241"/>
    <mergeCell ref="F241:G241"/>
    <mergeCell ref="B242:C242"/>
    <mergeCell ref="D242:E242"/>
    <mergeCell ref="F242:G242"/>
    <mergeCell ref="A301:C301"/>
    <mergeCell ref="D301:E301"/>
    <mergeCell ref="F301:G301"/>
    <mergeCell ref="A305:C305"/>
    <mergeCell ref="D305:E305"/>
    <mergeCell ref="F305:G305"/>
    <mergeCell ref="A306:C306"/>
    <mergeCell ref="D306:E306"/>
    <mergeCell ref="F306:G306"/>
    <mergeCell ref="A303:C303"/>
    <mergeCell ref="D303:E303"/>
    <mergeCell ref="F303:G303"/>
    <mergeCell ref="A302:C302"/>
    <mergeCell ref="D302:E302"/>
    <mergeCell ref="F302:G302"/>
    <mergeCell ref="A304:C304"/>
    <mergeCell ref="D304:E304"/>
    <mergeCell ref="F304:G304"/>
    <mergeCell ref="A330:D330"/>
    <mergeCell ref="A331:D331"/>
    <mergeCell ref="A332:D332"/>
    <mergeCell ref="A333:D333"/>
    <mergeCell ref="A334:D334"/>
    <mergeCell ref="A335:D335"/>
    <mergeCell ref="A308:C308"/>
    <mergeCell ref="D308:E308"/>
    <mergeCell ref="F308:G308"/>
    <mergeCell ref="F334:G334"/>
    <mergeCell ref="F333:G333"/>
    <mergeCell ref="A320:G320"/>
    <mergeCell ref="A311:C311"/>
    <mergeCell ref="D311:E311"/>
    <mergeCell ref="F311:G311"/>
    <mergeCell ref="F310:G310"/>
    <mergeCell ref="F330:G330"/>
    <mergeCell ref="A326:C326"/>
    <mergeCell ref="D326:E326"/>
    <mergeCell ref="F326:G326"/>
    <mergeCell ref="A324:C324"/>
    <mergeCell ref="D324:E324"/>
    <mergeCell ref="F324:G324"/>
    <mergeCell ref="A325:C325"/>
    <mergeCell ref="B243:C243"/>
    <mergeCell ref="D243:E243"/>
    <mergeCell ref="F243:G243"/>
    <mergeCell ref="A267:G267"/>
    <mergeCell ref="D256:E256"/>
    <mergeCell ref="F256:G256"/>
    <mergeCell ref="A256:B256"/>
    <mergeCell ref="A257:B257"/>
    <mergeCell ref="D265:E265"/>
    <mergeCell ref="F265:G265"/>
    <mergeCell ref="A265:B265"/>
    <mergeCell ref="A259:G259"/>
    <mergeCell ref="D263:E263"/>
    <mergeCell ref="F263:G263"/>
    <mergeCell ref="D264:E264"/>
    <mergeCell ref="F264:G264"/>
    <mergeCell ref="A263:B263"/>
    <mergeCell ref="A264:B264"/>
    <mergeCell ref="D257:E257"/>
    <mergeCell ref="F257:G257"/>
    <mergeCell ref="A246:G246"/>
    <mergeCell ref="D250:E250"/>
    <mergeCell ref="F250:G250"/>
    <mergeCell ref="A252:B252"/>
    <mergeCell ref="B215:C215"/>
    <mergeCell ref="D215:E215"/>
    <mergeCell ref="F215:G215"/>
    <mergeCell ref="B216:C216"/>
    <mergeCell ref="D216:E216"/>
    <mergeCell ref="F216:G216"/>
    <mergeCell ref="B217:C217"/>
    <mergeCell ref="D217:E217"/>
    <mergeCell ref="F217:G217"/>
  </mergeCells>
  <pageMargins left="1.3779527559055118" right="0.39370078740157483" top="0.98425196850393704" bottom="0.78740157480314965" header="0.31496062992125984" footer="0.31496062992125984"/>
  <pageSetup paperSize="9" scale="69" fitToWidth="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206"/>
  <sheetViews>
    <sheetView showWhiteSpace="0" view="pageLayout" topLeftCell="A85" zoomScaleNormal="100" workbookViewId="0">
      <selection activeCell="D91" sqref="D91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6" width="17.44140625" style="5" customWidth="1"/>
    <col min="7" max="7" width="8.88671875" style="5"/>
    <col min="8" max="8" width="10.6640625" style="5" customWidth="1"/>
    <col min="9" max="9" width="12.33203125" style="5" bestFit="1" customWidth="1"/>
    <col min="10" max="16384" width="8.88671875" style="5"/>
  </cols>
  <sheetData>
    <row r="1" spans="1:6" ht="17.399999999999999" x14ac:dyDescent="0.3">
      <c r="A1" s="384" t="s">
        <v>190</v>
      </c>
      <c r="B1" s="384"/>
      <c r="C1" s="384"/>
      <c r="D1" s="384"/>
      <c r="E1" s="384"/>
      <c r="F1" s="384"/>
    </row>
    <row r="2" spans="1:6" ht="17.399999999999999" x14ac:dyDescent="0.3">
      <c r="A2" s="384" t="s">
        <v>486</v>
      </c>
      <c r="B2" s="384"/>
      <c r="C2" s="384"/>
      <c r="D2" s="384"/>
      <c r="E2" s="384"/>
      <c r="F2" s="384"/>
    </row>
    <row r="3" spans="1:6" ht="11.25" customHeight="1" x14ac:dyDescent="0.3">
      <c r="A3" s="28"/>
    </row>
    <row r="4" spans="1:6" ht="18.600000000000001" thickBot="1" x14ac:dyDescent="0.35">
      <c r="A4" s="4"/>
      <c r="F4" s="4" t="s">
        <v>51</v>
      </c>
    </row>
    <row r="5" spans="1:6" ht="18.600000000000001" customHeight="1" x14ac:dyDescent="0.3">
      <c r="A5" s="389" t="s">
        <v>0</v>
      </c>
      <c r="B5" s="382" t="s">
        <v>45</v>
      </c>
      <c r="C5" s="391" t="s">
        <v>46</v>
      </c>
      <c r="D5" s="382" t="s">
        <v>1</v>
      </c>
      <c r="E5" s="382" t="s">
        <v>2</v>
      </c>
      <c r="F5" s="531"/>
    </row>
    <row r="6" spans="1:6" ht="125.4" thickBot="1" x14ac:dyDescent="0.35">
      <c r="A6" s="390"/>
      <c r="B6" s="383"/>
      <c r="C6" s="392"/>
      <c r="D6" s="383"/>
      <c r="E6" s="108" t="s">
        <v>3</v>
      </c>
      <c r="F6" s="35" t="s">
        <v>4</v>
      </c>
    </row>
    <row r="7" spans="1:6" ht="15" thickBot="1" x14ac:dyDescent="0.35">
      <c r="A7" s="40">
        <v>1</v>
      </c>
      <c r="B7" s="41">
        <v>2</v>
      </c>
      <c r="C7" s="41">
        <v>3</v>
      </c>
      <c r="D7" s="41">
        <v>4</v>
      </c>
      <c r="E7" s="41">
        <v>5</v>
      </c>
      <c r="F7" s="42">
        <v>6</v>
      </c>
    </row>
    <row r="8" spans="1:6" ht="46.8" x14ac:dyDescent="0.3">
      <c r="A8" s="351" t="s">
        <v>47</v>
      </c>
      <c r="B8" s="37" t="s">
        <v>5</v>
      </c>
      <c r="C8" s="37" t="s">
        <v>5</v>
      </c>
      <c r="D8" s="38">
        <f>E8+F8</f>
        <v>0</v>
      </c>
      <c r="E8" s="38"/>
      <c r="F8" s="39"/>
    </row>
    <row r="9" spans="1:6" ht="46.8" x14ac:dyDescent="0.3">
      <c r="A9" s="350" t="s">
        <v>48</v>
      </c>
      <c r="B9" s="111" t="s">
        <v>5</v>
      </c>
      <c r="C9" s="111" t="s">
        <v>5</v>
      </c>
      <c r="D9" s="3">
        <f t="shared" ref="D9:D71" si="0">E9+F9</f>
        <v>0</v>
      </c>
      <c r="E9" s="3">
        <f>E10+E8-E19+E101</f>
        <v>0</v>
      </c>
      <c r="F9" s="29">
        <f>F10+F8-F19+F101</f>
        <v>0</v>
      </c>
    </row>
    <row r="10" spans="1:6" ht="18" x14ac:dyDescent="0.3">
      <c r="A10" s="350" t="s">
        <v>49</v>
      </c>
      <c r="B10" s="111" t="s">
        <v>5</v>
      </c>
      <c r="C10" s="111" t="s">
        <v>5</v>
      </c>
      <c r="D10" s="1">
        <f>E10+F10</f>
        <v>5715006</v>
      </c>
      <c r="E10" s="1">
        <f>E12</f>
        <v>5715006</v>
      </c>
      <c r="F10" s="2">
        <f>F12</f>
        <v>0</v>
      </c>
    </row>
    <row r="11" spans="1:6" ht="18" x14ac:dyDescent="0.3">
      <c r="A11" s="350" t="s">
        <v>6</v>
      </c>
      <c r="B11" s="111"/>
      <c r="C11" s="111"/>
      <c r="D11" s="1"/>
      <c r="E11" s="1"/>
      <c r="F11" s="2"/>
    </row>
    <row r="12" spans="1:6" ht="18" x14ac:dyDescent="0.3">
      <c r="A12" s="350" t="s">
        <v>62</v>
      </c>
      <c r="B12" s="111">
        <v>150</v>
      </c>
      <c r="C12" s="111" t="s">
        <v>5</v>
      </c>
      <c r="D12" s="1">
        <f t="shared" si="0"/>
        <v>5715006</v>
      </c>
      <c r="E12" s="1">
        <f>SUM(E13:E18)</f>
        <v>5715006</v>
      </c>
      <c r="F12" s="2">
        <f>SUM(F13:F18)</f>
        <v>0</v>
      </c>
    </row>
    <row r="13" spans="1:6" ht="18" x14ac:dyDescent="0.3">
      <c r="A13" s="350" t="s">
        <v>6</v>
      </c>
      <c r="B13" s="111"/>
      <c r="C13" s="111"/>
      <c r="D13" s="1">
        <f t="shared" si="0"/>
        <v>0</v>
      </c>
      <c r="E13" s="1"/>
      <c r="F13" s="2"/>
    </row>
    <row r="14" spans="1:6" ht="46.8" x14ac:dyDescent="0.3">
      <c r="A14" s="350" t="s">
        <v>441</v>
      </c>
      <c r="B14" s="111"/>
      <c r="C14" s="111"/>
      <c r="D14" s="1">
        <f t="shared" si="0"/>
        <v>5279006</v>
      </c>
      <c r="E14" s="1">
        <f>4832106+48200-21300+350000+70000</f>
        <v>5279006</v>
      </c>
      <c r="F14" s="2"/>
    </row>
    <row r="15" spans="1:6" ht="99.75" customHeight="1" x14ac:dyDescent="0.3">
      <c r="A15" s="350" t="s">
        <v>442</v>
      </c>
      <c r="B15" s="111"/>
      <c r="C15" s="111"/>
      <c r="D15" s="1">
        <f t="shared" si="0"/>
        <v>436000</v>
      </c>
      <c r="E15" s="1">
        <v>436000</v>
      </c>
      <c r="F15" s="2"/>
    </row>
    <row r="16" spans="1:6" ht="408.75" customHeight="1" x14ac:dyDescent="0.3">
      <c r="A16" s="350" t="s">
        <v>466</v>
      </c>
      <c r="B16" s="111"/>
      <c r="C16" s="111"/>
      <c r="D16" s="1">
        <f t="shared" si="0"/>
        <v>0</v>
      </c>
      <c r="E16" s="1"/>
      <c r="F16" s="2"/>
    </row>
    <row r="17" spans="1:6" ht="18" x14ac:dyDescent="0.3">
      <c r="A17" s="109"/>
      <c r="B17" s="111"/>
      <c r="C17" s="111"/>
      <c r="D17" s="1">
        <f t="shared" si="0"/>
        <v>0</v>
      </c>
      <c r="E17" s="1"/>
      <c r="F17" s="2"/>
    </row>
    <row r="18" spans="1:6" ht="18" x14ac:dyDescent="0.3">
      <c r="A18" s="109"/>
      <c r="B18" s="111"/>
      <c r="C18" s="111"/>
      <c r="D18" s="1">
        <f t="shared" si="0"/>
        <v>0</v>
      </c>
      <c r="E18" s="1"/>
      <c r="F18" s="2"/>
    </row>
    <row r="19" spans="1:6" ht="18" x14ac:dyDescent="0.3">
      <c r="A19" s="109" t="s">
        <v>7</v>
      </c>
      <c r="B19" s="111" t="s">
        <v>5</v>
      </c>
      <c r="C19" s="111">
        <v>900</v>
      </c>
      <c r="D19" s="3">
        <f t="shared" si="0"/>
        <v>5715006</v>
      </c>
      <c r="E19" s="1">
        <f>E21+E87</f>
        <v>5715006</v>
      </c>
      <c r="F19" s="2">
        <f>F21+F87</f>
        <v>0</v>
      </c>
    </row>
    <row r="20" spans="1:6" ht="18" x14ac:dyDescent="0.3">
      <c r="A20" s="109" t="s">
        <v>6</v>
      </c>
      <c r="B20" s="111"/>
      <c r="C20" s="111"/>
      <c r="D20" s="3"/>
      <c r="E20" s="1"/>
      <c r="F20" s="2"/>
    </row>
    <row r="21" spans="1:6" ht="18" x14ac:dyDescent="0.3">
      <c r="A21" s="109" t="s">
        <v>8</v>
      </c>
      <c r="B21" s="111" t="s">
        <v>5</v>
      </c>
      <c r="C21" s="111">
        <v>200</v>
      </c>
      <c r="D21" s="3">
        <f t="shared" si="0"/>
        <v>2184135.7999999998</v>
      </c>
      <c r="E21" s="1">
        <f>E23+E31+E59+E66</f>
        <v>2184135.7999999998</v>
      </c>
      <c r="F21" s="2">
        <f>F23+F31+F59+F66</f>
        <v>0</v>
      </c>
    </row>
    <row r="22" spans="1:6" ht="14.4" customHeight="1" x14ac:dyDescent="0.3">
      <c r="A22" s="109" t="s">
        <v>9</v>
      </c>
      <c r="B22" s="111"/>
      <c r="C22" s="111"/>
      <c r="D22" s="3"/>
      <c r="E22" s="1"/>
      <c r="F22" s="2"/>
    </row>
    <row r="23" spans="1:6" ht="72" x14ac:dyDescent="0.3">
      <c r="A23" s="109" t="s">
        <v>10</v>
      </c>
      <c r="B23" s="111" t="s">
        <v>5</v>
      </c>
      <c r="C23" s="111">
        <v>210</v>
      </c>
      <c r="D23" s="3">
        <f t="shared" si="0"/>
        <v>1076885.8</v>
      </c>
      <c r="E23" s="1">
        <f>E25+E26+E27+E28</f>
        <v>1076885.8</v>
      </c>
      <c r="F23" s="2">
        <f>F25+F26+F27+F28</f>
        <v>0</v>
      </c>
    </row>
    <row r="24" spans="1:6" ht="18" x14ac:dyDescent="0.3">
      <c r="A24" s="109" t="s">
        <v>9</v>
      </c>
      <c r="B24" s="111"/>
      <c r="C24" s="111"/>
      <c r="D24" s="3"/>
      <c r="E24" s="1"/>
      <c r="F24" s="2"/>
    </row>
    <row r="25" spans="1:6" ht="18" x14ac:dyDescent="0.3">
      <c r="A25" s="109" t="s">
        <v>11</v>
      </c>
      <c r="B25" s="111">
        <v>111</v>
      </c>
      <c r="C25" s="111">
        <v>211</v>
      </c>
      <c r="D25" s="3">
        <f t="shared" si="0"/>
        <v>827101.23</v>
      </c>
      <c r="E25" s="1">
        <f>827101.23</f>
        <v>827101.23</v>
      </c>
      <c r="F25" s="2"/>
    </row>
    <row r="26" spans="1:6" ht="72" x14ac:dyDescent="0.3">
      <c r="A26" s="109" t="s">
        <v>12</v>
      </c>
      <c r="B26" s="111">
        <v>112</v>
      </c>
      <c r="C26" s="111">
        <v>212</v>
      </c>
      <c r="D26" s="3">
        <f t="shared" si="0"/>
        <v>0</v>
      </c>
      <c r="E26" s="1"/>
      <c r="F26" s="2"/>
    </row>
    <row r="27" spans="1:6" ht="54" x14ac:dyDescent="0.3">
      <c r="A27" s="109" t="s">
        <v>13</v>
      </c>
      <c r="B27" s="111">
        <v>119</v>
      </c>
      <c r="C27" s="111">
        <v>213</v>
      </c>
      <c r="D27" s="3">
        <f t="shared" si="0"/>
        <v>249784.57</v>
      </c>
      <c r="E27" s="1">
        <f>249784.57</f>
        <v>249784.57</v>
      </c>
      <c r="F27" s="2"/>
    </row>
    <row r="28" spans="1:6" ht="72" x14ac:dyDescent="0.3">
      <c r="A28" s="109" t="s">
        <v>200</v>
      </c>
      <c r="B28" s="111" t="s">
        <v>5</v>
      </c>
      <c r="C28" s="111">
        <v>214</v>
      </c>
      <c r="D28" s="3">
        <f>E28+F28</f>
        <v>0</v>
      </c>
      <c r="E28" s="1">
        <f>E29+E30</f>
        <v>0</v>
      </c>
      <c r="F28" s="2">
        <f>F29+F30</f>
        <v>0</v>
      </c>
    </row>
    <row r="29" spans="1:6" ht="18" x14ac:dyDescent="0.3">
      <c r="A29" s="386" t="s">
        <v>6</v>
      </c>
      <c r="B29" s="111">
        <v>112</v>
      </c>
      <c r="C29" s="111">
        <v>214</v>
      </c>
      <c r="D29" s="3">
        <f t="shared" si="0"/>
        <v>0</v>
      </c>
      <c r="E29" s="1"/>
      <c r="F29" s="2"/>
    </row>
    <row r="30" spans="1:6" ht="25.2" customHeight="1" x14ac:dyDescent="0.3">
      <c r="A30" s="388"/>
      <c r="B30" s="111">
        <v>244</v>
      </c>
      <c r="C30" s="111">
        <v>214</v>
      </c>
      <c r="D30" s="3">
        <v>0</v>
      </c>
      <c r="E30" s="1"/>
      <c r="F30" s="2"/>
    </row>
    <row r="31" spans="1:6" ht="36" x14ac:dyDescent="0.3">
      <c r="A31" s="109" t="s">
        <v>14</v>
      </c>
      <c r="B31" s="111" t="s">
        <v>5</v>
      </c>
      <c r="C31" s="111">
        <v>220</v>
      </c>
      <c r="D31" s="3">
        <f t="shared" si="0"/>
        <v>1107250</v>
      </c>
      <c r="E31" s="1">
        <f>E33+E34+E37+E47+E48+E51+E57</f>
        <v>1107250</v>
      </c>
      <c r="F31" s="2">
        <f>F33+F34+F37+F47+F48+F51+F57</f>
        <v>0</v>
      </c>
    </row>
    <row r="32" spans="1:6" ht="18" x14ac:dyDescent="0.3">
      <c r="A32" s="109" t="s">
        <v>9</v>
      </c>
      <c r="B32" s="111"/>
      <c r="C32" s="111"/>
      <c r="D32" s="3"/>
      <c r="E32" s="1"/>
      <c r="F32" s="2"/>
    </row>
    <row r="33" spans="1:6" ht="18" x14ac:dyDescent="0.3">
      <c r="A33" s="109" t="s">
        <v>15</v>
      </c>
      <c r="B33" s="111">
        <v>244</v>
      </c>
      <c r="C33" s="111">
        <v>221</v>
      </c>
      <c r="D33" s="3">
        <f t="shared" si="0"/>
        <v>0</v>
      </c>
      <c r="E33" s="1"/>
      <c r="F33" s="2"/>
    </row>
    <row r="34" spans="1:6" ht="36" x14ac:dyDescent="0.3">
      <c r="A34" s="109" t="s">
        <v>16</v>
      </c>
      <c r="B34" s="111" t="s">
        <v>5</v>
      </c>
      <c r="C34" s="111">
        <v>222</v>
      </c>
      <c r="D34" s="3">
        <f t="shared" si="0"/>
        <v>0</v>
      </c>
      <c r="E34" s="1">
        <f>E35+E36</f>
        <v>0</v>
      </c>
      <c r="F34" s="2">
        <f>F35+F36</f>
        <v>0</v>
      </c>
    </row>
    <row r="35" spans="1:6" ht="22.95" customHeight="1" x14ac:dyDescent="0.3">
      <c r="A35" s="385" t="s">
        <v>6</v>
      </c>
      <c r="B35" s="111">
        <v>112</v>
      </c>
      <c r="C35" s="111">
        <v>222</v>
      </c>
      <c r="D35" s="3">
        <f t="shared" si="0"/>
        <v>0</v>
      </c>
      <c r="E35" s="1"/>
      <c r="F35" s="2"/>
    </row>
    <row r="36" spans="1:6" ht="18" x14ac:dyDescent="0.3">
      <c r="A36" s="385"/>
      <c r="B36" s="111">
        <v>244</v>
      </c>
      <c r="C36" s="111">
        <v>222</v>
      </c>
      <c r="D36" s="3">
        <f t="shared" si="0"/>
        <v>0</v>
      </c>
      <c r="E36" s="1"/>
      <c r="F36" s="2"/>
    </row>
    <row r="37" spans="1:6" ht="36" x14ac:dyDescent="0.3">
      <c r="A37" s="109" t="s">
        <v>17</v>
      </c>
      <c r="B37" s="111" t="s">
        <v>5</v>
      </c>
      <c r="C37" s="111">
        <v>223</v>
      </c>
      <c r="D37" s="3">
        <f t="shared" si="0"/>
        <v>0</v>
      </c>
      <c r="E37" s="1">
        <f>E42+E43+E44+E45+E46</f>
        <v>0</v>
      </c>
      <c r="F37" s="2">
        <f>F42+F43+F44+F45+F46</f>
        <v>0</v>
      </c>
    </row>
    <row r="38" spans="1:6" ht="18" x14ac:dyDescent="0.3">
      <c r="A38" s="109" t="s">
        <v>6</v>
      </c>
      <c r="B38" s="111"/>
      <c r="C38" s="111"/>
      <c r="D38" s="3"/>
      <c r="E38" s="1"/>
      <c r="F38" s="2"/>
    </row>
    <row r="39" spans="1:6" ht="54" x14ac:dyDescent="0.3">
      <c r="A39" s="261" t="s">
        <v>18</v>
      </c>
      <c r="B39" s="262">
        <v>244</v>
      </c>
      <c r="C39" s="262">
        <v>223</v>
      </c>
      <c r="D39" s="3"/>
      <c r="E39" s="1"/>
      <c r="F39" s="2"/>
    </row>
    <row r="40" spans="1:6" ht="36" x14ac:dyDescent="0.3">
      <c r="A40" s="316" t="s">
        <v>19</v>
      </c>
      <c r="B40" s="317">
        <v>244</v>
      </c>
      <c r="C40" s="317">
        <v>223</v>
      </c>
      <c r="D40" s="3"/>
      <c r="E40" s="1"/>
      <c r="F40" s="2"/>
    </row>
    <row r="41" spans="1:6" ht="54" x14ac:dyDescent="0.3">
      <c r="A41" s="316" t="s">
        <v>20</v>
      </c>
      <c r="B41" s="317">
        <v>244</v>
      </c>
      <c r="C41" s="317">
        <v>223</v>
      </c>
      <c r="D41" s="3"/>
      <c r="E41" s="1"/>
      <c r="F41" s="2"/>
    </row>
    <row r="42" spans="1:6" ht="54" x14ac:dyDescent="0.3">
      <c r="A42" s="109" t="s">
        <v>18</v>
      </c>
      <c r="B42" s="111">
        <v>247</v>
      </c>
      <c r="C42" s="111">
        <v>223</v>
      </c>
      <c r="D42" s="3">
        <f t="shared" si="0"/>
        <v>0</v>
      </c>
      <c r="E42" s="1"/>
      <c r="F42" s="2"/>
    </row>
    <row r="43" spans="1:6" ht="36" x14ac:dyDescent="0.3">
      <c r="A43" s="109" t="s">
        <v>19</v>
      </c>
      <c r="B43" s="111">
        <v>247</v>
      </c>
      <c r="C43" s="111">
        <v>223</v>
      </c>
      <c r="D43" s="3">
        <f t="shared" si="0"/>
        <v>0</v>
      </c>
      <c r="E43" s="1"/>
      <c r="F43" s="2"/>
    </row>
    <row r="44" spans="1:6" ht="63.75" customHeight="1" x14ac:dyDescent="0.3">
      <c r="A44" s="109" t="s">
        <v>20</v>
      </c>
      <c r="B44" s="111">
        <v>247</v>
      </c>
      <c r="C44" s="111">
        <v>223</v>
      </c>
      <c r="D44" s="3">
        <f t="shared" si="0"/>
        <v>0</v>
      </c>
      <c r="E44" s="1"/>
      <c r="F44" s="2"/>
    </row>
    <row r="45" spans="1:6" ht="72" x14ac:dyDescent="0.3">
      <c r="A45" s="109" t="s">
        <v>21</v>
      </c>
      <c r="B45" s="111">
        <v>244</v>
      </c>
      <c r="C45" s="111">
        <v>223</v>
      </c>
      <c r="D45" s="3">
        <f t="shared" si="0"/>
        <v>0</v>
      </c>
      <c r="E45" s="1"/>
      <c r="F45" s="2"/>
    </row>
    <row r="46" spans="1:6" ht="64.5" customHeight="1" x14ac:dyDescent="0.3">
      <c r="A46" s="109" t="s">
        <v>22</v>
      </c>
      <c r="B46" s="111">
        <v>244</v>
      </c>
      <c r="C46" s="111">
        <v>223</v>
      </c>
      <c r="D46" s="3">
        <f t="shared" si="0"/>
        <v>0</v>
      </c>
      <c r="E46" s="1"/>
      <c r="F46" s="2"/>
    </row>
    <row r="47" spans="1:6" ht="168.75" customHeight="1" x14ac:dyDescent="0.3">
      <c r="A47" s="109" t="s">
        <v>23</v>
      </c>
      <c r="B47" s="111">
        <v>244</v>
      </c>
      <c r="C47" s="111">
        <v>224</v>
      </c>
      <c r="D47" s="3">
        <f t="shared" si="0"/>
        <v>0</v>
      </c>
      <c r="E47" s="1"/>
      <c r="F47" s="2"/>
    </row>
    <row r="48" spans="1:6" ht="63.75" customHeight="1" x14ac:dyDescent="0.3">
      <c r="A48" s="109" t="s">
        <v>24</v>
      </c>
      <c r="B48" s="111" t="s">
        <v>5</v>
      </c>
      <c r="C48" s="111">
        <v>225</v>
      </c>
      <c r="D48" s="1">
        <f>D49+D50</f>
        <v>0</v>
      </c>
      <c r="E48" s="1">
        <f>E49+E50</f>
        <v>0</v>
      </c>
      <c r="F48" s="2">
        <f>F49+F50</f>
        <v>0</v>
      </c>
    </row>
    <row r="49" spans="1:6" ht="18" x14ac:dyDescent="0.3">
      <c r="A49" s="385" t="s">
        <v>6</v>
      </c>
      <c r="B49" s="111">
        <v>243</v>
      </c>
      <c r="C49" s="111">
        <v>225</v>
      </c>
      <c r="D49" s="3">
        <f t="shared" si="0"/>
        <v>0</v>
      </c>
      <c r="E49" s="1"/>
      <c r="F49" s="2"/>
    </row>
    <row r="50" spans="1:6" ht="18" x14ac:dyDescent="0.3">
      <c r="A50" s="385"/>
      <c r="B50" s="111">
        <v>244</v>
      </c>
      <c r="C50" s="111">
        <v>225</v>
      </c>
      <c r="D50" s="3">
        <f t="shared" si="0"/>
        <v>0</v>
      </c>
      <c r="E50" s="1"/>
      <c r="F50" s="2"/>
    </row>
    <row r="51" spans="1:6" ht="42" customHeight="1" x14ac:dyDescent="0.3">
      <c r="A51" s="109" t="s">
        <v>58</v>
      </c>
      <c r="B51" s="111" t="s">
        <v>5</v>
      </c>
      <c r="C51" s="111">
        <v>226</v>
      </c>
      <c r="D51" s="3">
        <f t="shared" si="0"/>
        <v>1107250</v>
      </c>
      <c r="E51" s="1">
        <f>E52+E53+E55+E56+E54</f>
        <v>1107250</v>
      </c>
      <c r="F51" s="2">
        <f>F52+F53+F55+F56+F54</f>
        <v>0</v>
      </c>
    </row>
    <row r="52" spans="1:6" ht="20.25" customHeight="1" x14ac:dyDescent="0.3">
      <c r="A52" s="385" t="s">
        <v>6</v>
      </c>
      <c r="B52" s="111">
        <v>112</v>
      </c>
      <c r="C52" s="111">
        <v>226</v>
      </c>
      <c r="D52" s="3">
        <f t="shared" si="0"/>
        <v>2800</v>
      </c>
      <c r="E52" s="1">
        <f>24100-21300</f>
        <v>2800</v>
      </c>
      <c r="F52" s="2"/>
    </row>
    <row r="53" spans="1:6" ht="20.25" customHeight="1" x14ac:dyDescent="0.3">
      <c r="A53" s="385"/>
      <c r="B53" s="111">
        <v>113</v>
      </c>
      <c r="C53" s="111">
        <v>226</v>
      </c>
      <c r="D53" s="3">
        <f t="shared" si="0"/>
        <v>0</v>
      </c>
      <c r="E53" s="1"/>
      <c r="F53" s="2"/>
    </row>
    <row r="54" spans="1:6" ht="20.25" customHeight="1" x14ac:dyDescent="0.3">
      <c r="A54" s="385"/>
      <c r="B54" s="111">
        <v>119</v>
      </c>
      <c r="C54" s="111">
        <v>226</v>
      </c>
      <c r="D54" s="3">
        <f t="shared" si="0"/>
        <v>0</v>
      </c>
      <c r="E54" s="1"/>
      <c r="F54" s="2"/>
    </row>
    <row r="55" spans="1:6" ht="20.25" customHeight="1" x14ac:dyDescent="0.3">
      <c r="A55" s="385"/>
      <c r="B55" s="111">
        <v>243</v>
      </c>
      <c r="C55" s="111">
        <v>226</v>
      </c>
      <c r="D55" s="3">
        <f t="shared" si="0"/>
        <v>0</v>
      </c>
      <c r="E55" s="1"/>
      <c r="F55" s="2"/>
    </row>
    <row r="56" spans="1:6" ht="20.25" customHeight="1" x14ac:dyDescent="0.3">
      <c r="A56" s="385"/>
      <c r="B56" s="111">
        <v>244</v>
      </c>
      <c r="C56" s="111">
        <v>226</v>
      </c>
      <c r="D56" s="3">
        <f t="shared" si="0"/>
        <v>1104450</v>
      </c>
      <c r="E56" s="1">
        <f>1080350+24100</f>
        <v>1104450</v>
      </c>
      <c r="F56" s="2"/>
    </row>
    <row r="57" spans="1:6" ht="20.25" customHeight="1" x14ac:dyDescent="0.3">
      <c r="A57" s="109" t="s">
        <v>25</v>
      </c>
      <c r="B57" s="111">
        <v>244</v>
      </c>
      <c r="C57" s="111">
        <v>227</v>
      </c>
      <c r="D57" s="3">
        <f t="shared" si="0"/>
        <v>0</v>
      </c>
      <c r="E57" s="1"/>
      <c r="F57" s="2"/>
    </row>
    <row r="58" spans="1:6" ht="61.5" customHeight="1" x14ac:dyDescent="0.3">
      <c r="A58" s="261" t="s">
        <v>445</v>
      </c>
      <c r="B58" s="262">
        <v>244</v>
      </c>
      <c r="C58" s="262">
        <v>228</v>
      </c>
      <c r="D58" s="3">
        <v>0</v>
      </c>
      <c r="E58" s="1">
        <v>0</v>
      </c>
      <c r="F58" s="2"/>
    </row>
    <row r="59" spans="1:6" ht="47.25" customHeight="1" x14ac:dyDescent="0.3">
      <c r="A59" s="109" t="s">
        <v>26</v>
      </c>
      <c r="B59" s="111" t="s">
        <v>5</v>
      </c>
      <c r="C59" s="111">
        <v>260</v>
      </c>
      <c r="D59" s="3">
        <f t="shared" si="0"/>
        <v>0</v>
      </c>
      <c r="E59" s="1">
        <f>E60+E61+E65</f>
        <v>0</v>
      </c>
      <c r="F59" s="2">
        <f>F60+F61+F65</f>
        <v>0</v>
      </c>
    </row>
    <row r="60" spans="1:6" ht="118.5" customHeight="1" x14ac:dyDescent="0.3">
      <c r="A60" s="109" t="s">
        <v>27</v>
      </c>
      <c r="B60" s="111">
        <v>321</v>
      </c>
      <c r="C60" s="111">
        <v>264</v>
      </c>
      <c r="D60" s="3">
        <f t="shared" si="0"/>
        <v>0</v>
      </c>
      <c r="E60" s="1"/>
      <c r="F60" s="2"/>
    </row>
    <row r="61" spans="1:6" ht="99.75" customHeight="1" x14ac:dyDescent="0.3">
      <c r="A61" s="109" t="s">
        <v>28</v>
      </c>
      <c r="B61" s="111" t="s">
        <v>5</v>
      </c>
      <c r="C61" s="111">
        <v>266</v>
      </c>
      <c r="D61" s="3">
        <f t="shared" si="0"/>
        <v>0</v>
      </c>
      <c r="E61" s="1">
        <f>E62+E63</f>
        <v>0</v>
      </c>
      <c r="F61" s="2">
        <f>F62+F63</f>
        <v>0</v>
      </c>
    </row>
    <row r="62" spans="1:6" ht="18" x14ac:dyDescent="0.3">
      <c r="A62" s="386" t="s">
        <v>6</v>
      </c>
      <c r="B62" s="111">
        <v>111</v>
      </c>
      <c r="C62" s="111">
        <v>266</v>
      </c>
      <c r="D62" s="3">
        <f t="shared" si="0"/>
        <v>0</v>
      </c>
      <c r="E62" s="1"/>
      <c r="F62" s="2"/>
    </row>
    <row r="63" spans="1:6" ht="18" x14ac:dyDescent="0.3">
      <c r="A63" s="387"/>
      <c r="B63" s="111">
        <v>112</v>
      </c>
      <c r="C63" s="111">
        <v>266</v>
      </c>
      <c r="D63" s="3">
        <f t="shared" si="0"/>
        <v>0</v>
      </c>
      <c r="E63" s="1"/>
      <c r="F63" s="2"/>
    </row>
    <row r="64" spans="1:6" ht="18" x14ac:dyDescent="0.3">
      <c r="A64" s="388"/>
      <c r="B64" s="372">
        <v>119</v>
      </c>
      <c r="C64" s="372">
        <v>266</v>
      </c>
      <c r="D64" s="3"/>
      <c r="E64" s="1"/>
      <c r="F64" s="2"/>
    </row>
    <row r="65" spans="1:6" ht="72" x14ac:dyDescent="0.3">
      <c r="A65" s="109" t="s">
        <v>29</v>
      </c>
      <c r="B65" s="111">
        <v>112</v>
      </c>
      <c r="C65" s="111">
        <v>267</v>
      </c>
      <c r="D65" s="3">
        <f t="shared" si="0"/>
        <v>0</v>
      </c>
      <c r="E65" s="1"/>
      <c r="F65" s="2"/>
    </row>
    <row r="66" spans="1:6" ht="18" x14ac:dyDescent="0.3">
      <c r="A66" s="109" t="s">
        <v>30</v>
      </c>
      <c r="B66" s="111" t="s">
        <v>5</v>
      </c>
      <c r="C66" s="111">
        <v>290</v>
      </c>
      <c r="D66" s="3">
        <f t="shared" si="0"/>
        <v>0</v>
      </c>
      <c r="E66" s="1">
        <f>E68+E72+E73+E74+E75+E82</f>
        <v>0</v>
      </c>
      <c r="F66" s="2">
        <f>F68+F72+F73+F74+F75+F82</f>
        <v>0</v>
      </c>
    </row>
    <row r="67" spans="1:6" ht="18" x14ac:dyDescent="0.3">
      <c r="A67" s="109" t="s">
        <v>9</v>
      </c>
      <c r="B67" s="111"/>
      <c r="C67" s="111"/>
      <c r="D67" s="3">
        <f t="shared" si="0"/>
        <v>0</v>
      </c>
      <c r="E67" s="1"/>
      <c r="F67" s="2"/>
    </row>
    <row r="68" spans="1:6" ht="36" x14ac:dyDescent="0.3">
      <c r="A68" s="109" t="s">
        <v>31</v>
      </c>
      <c r="B68" s="111" t="s">
        <v>5</v>
      </c>
      <c r="C68" s="111">
        <v>291</v>
      </c>
      <c r="D68" s="3">
        <f t="shared" si="0"/>
        <v>0</v>
      </c>
      <c r="E68" s="1">
        <f>E69+E70+E71</f>
        <v>0</v>
      </c>
      <c r="F68" s="2">
        <f>F69+F70+F71</f>
        <v>0</v>
      </c>
    </row>
    <row r="69" spans="1:6" ht="18" x14ac:dyDescent="0.3">
      <c r="A69" s="385" t="s">
        <v>6</v>
      </c>
      <c r="B69" s="111">
        <v>851</v>
      </c>
      <c r="C69" s="111">
        <v>291</v>
      </c>
      <c r="D69" s="3">
        <f t="shared" si="0"/>
        <v>0</v>
      </c>
      <c r="E69" s="1"/>
      <c r="F69" s="2"/>
    </row>
    <row r="70" spans="1:6" ht="18" x14ac:dyDescent="0.3">
      <c r="A70" s="385"/>
      <c r="B70" s="111">
        <v>852</v>
      </c>
      <c r="C70" s="111">
        <v>291</v>
      </c>
      <c r="D70" s="3">
        <f t="shared" si="0"/>
        <v>0</v>
      </c>
      <c r="E70" s="1"/>
      <c r="F70" s="2"/>
    </row>
    <row r="71" spans="1:6" ht="18" x14ac:dyDescent="0.3">
      <c r="A71" s="385"/>
      <c r="B71" s="111">
        <v>853</v>
      </c>
      <c r="C71" s="111">
        <v>291</v>
      </c>
      <c r="D71" s="3">
        <f t="shared" si="0"/>
        <v>0</v>
      </c>
      <c r="E71" s="1"/>
      <c r="F71" s="2"/>
    </row>
    <row r="72" spans="1:6" ht="120.75" customHeight="1" x14ac:dyDescent="0.3">
      <c r="A72" s="109" t="s">
        <v>32</v>
      </c>
      <c r="B72" s="111">
        <v>853</v>
      </c>
      <c r="C72" s="111">
        <v>292</v>
      </c>
      <c r="D72" s="3">
        <f t="shared" ref="D72:D105" si="1">E72+F72</f>
        <v>0</v>
      </c>
      <c r="E72" s="1"/>
      <c r="F72" s="2">
        <v>0</v>
      </c>
    </row>
    <row r="73" spans="1:6" ht="126" x14ac:dyDescent="0.3">
      <c r="A73" s="109" t="s">
        <v>33</v>
      </c>
      <c r="B73" s="111">
        <v>853</v>
      </c>
      <c r="C73" s="111">
        <v>293</v>
      </c>
      <c r="D73" s="3">
        <f t="shared" si="1"/>
        <v>0</v>
      </c>
      <c r="E73" s="1"/>
      <c r="F73" s="2">
        <v>0</v>
      </c>
    </row>
    <row r="74" spans="1:6" ht="63" customHeight="1" x14ac:dyDescent="0.3">
      <c r="A74" s="109" t="s">
        <v>157</v>
      </c>
      <c r="B74" s="111">
        <v>853</v>
      </c>
      <c r="C74" s="111">
        <v>295</v>
      </c>
      <c r="D74" s="3">
        <f t="shared" si="1"/>
        <v>0</v>
      </c>
      <c r="E74" s="1"/>
      <c r="F74" s="2">
        <v>0</v>
      </c>
    </row>
    <row r="75" spans="1:6" ht="65.25" customHeight="1" x14ac:dyDescent="0.3">
      <c r="A75" s="109" t="s">
        <v>34</v>
      </c>
      <c r="B75" s="111" t="s">
        <v>5</v>
      </c>
      <c r="C75" s="111">
        <v>296</v>
      </c>
      <c r="D75" s="3">
        <f t="shared" si="1"/>
        <v>0</v>
      </c>
      <c r="E75" s="1">
        <f>E76+E77+E78+E79+E81</f>
        <v>0</v>
      </c>
      <c r="F75" s="2">
        <f>F76+F77+F78+F79+F81</f>
        <v>0</v>
      </c>
    </row>
    <row r="76" spans="1:6" ht="20.25" customHeight="1" x14ac:dyDescent="0.3">
      <c r="A76" s="385" t="s">
        <v>6</v>
      </c>
      <c r="B76" s="111">
        <v>244</v>
      </c>
      <c r="C76" s="111">
        <v>296</v>
      </c>
      <c r="D76" s="3">
        <f t="shared" si="1"/>
        <v>0</v>
      </c>
      <c r="E76" s="1"/>
      <c r="F76" s="2"/>
    </row>
    <row r="77" spans="1:6" ht="20.25" customHeight="1" x14ac:dyDescent="0.3">
      <c r="A77" s="385"/>
      <c r="B77" s="111">
        <v>340</v>
      </c>
      <c r="C77" s="111">
        <v>296</v>
      </c>
      <c r="D77" s="3">
        <f t="shared" si="1"/>
        <v>0</v>
      </c>
      <c r="E77" s="1"/>
      <c r="F77" s="2"/>
    </row>
    <row r="78" spans="1:6" ht="20.25" customHeight="1" x14ac:dyDescent="0.3">
      <c r="A78" s="385"/>
      <c r="B78" s="111">
        <v>350</v>
      </c>
      <c r="C78" s="111">
        <v>296</v>
      </c>
      <c r="D78" s="3">
        <f t="shared" si="1"/>
        <v>0</v>
      </c>
      <c r="E78" s="1"/>
      <c r="F78" s="2"/>
    </row>
    <row r="79" spans="1:6" ht="20.25" customHeight="1" x14ac:dyDescent="0.3">
      <c r="A79" s="385"/>
      <c r="B79" s="111">
        <v>360</v>
      </c>
      <c r="C79" s="111">
        <v>296</v>
      </c>
      <c r="D79" s="3">
        <f t="shared" si="1"/>
        <v>0</v>
      </c>
      <c r="E79" s="1"/>
      <c r="F79" s="2"/>
    </row>
    <row r="80" spans="1:6" ht="20.25" customHeight="1" x14ac:dyDescent="0.3">
      <c r="A80" s="385"/>
      <c r="B80" s="368">
        <v>831</v>
      </c>
      <c r="C80" s="368">
        <v>296</v>
      </c>
      <c r="D80" s="3">
        <f>E80</f>
        <v>0</v>
      </c>
      <c r="E80" s="1"/>
      <c r="F80" s="2"/>
    </row>
    <row r="81" spans="1:6" ht="20.25" customHeight="1" x14ac:dyDescent="0.3">
      <c r="A81" s="385"/>
      <c r="B81" s="111">
        <v>853</v>
      </c>
      <c r="C81" s="111">
        <v>296</v>
      </c>
      <c r="D81" s="3">
        <f t="shared" si="1"/>
        <v>0</v>
      </c>
      <c r="E81" s="1"/>
      <c r="F81" s="2"/>
    </row>
    <row r="82" spans="1:6" ht="62.4" customHeight="1" x14ac:dyDescent="0.3">
      <c r="A82" s="109" t="s">
        <v>35</v>
      </c>
      <c r="B82" s="111" t="s">
        <v>5</v>
      </c>
      <c r="C82" s="111">
        <v>297</v>
      </c>
      <c r="D82" s="3">
        <f t="shared" si="1"/>
        <v>0</v>
      </c>
      <c r="E82" s="1">
        <f>E83+E86</f>
        <v>0</v>
      </c>
      <c r="F82" s="2">
        <f>F83+F86</f>
        <v>0</v>
      </c>
    </row>
    <row r="83" spans="1:6" ht="20.25" customHeight="1" x14ac:dyDescent="0.3">
      <c r="A83" s="385" t="s">
        <v>6</v>
      </c>
      <c r="B83" s="111">
        <v>244</v>
      </c>
      <c r="C83" s="111">
        <v>297</v>
      </c>
      <c r="D83" s="3">
        <f t="shared" si="1"/>
        <v>0</v>
      </c>
      <c r="E83" s="1"/>
      <c r="F83" s="2"/>
    </row>
    <row r="84" spans="1:6" ht="20.25" customHeight="1" x14ac:dyDescent="0.3">
      <c r="A84" s="385"/>
      <c r="B84" s="368">
        <v>613</v>
      </c>
      <c r="C84" s="368">
        <v>297</v>
      </c>
      <c r="D84" s="3">
        <f>E84</f>
        <v>0</v>
      </c>
      <c r="E84" s="1"/>
      <c r="F84" s="2"/>
    </row>
    <row r="85" spans="1:6" ht="20.25" customHeight="1" x14ac:dyDescent="0.3">
      <c r="A85" s="385"/>
      <c r="B85" s="318">
        <v>831</v>
      </c>
      <c r="C85" s="318">
        <v>297</v>
      </c>
      <c r="D85" s="3">
        <v>0</v>
      </c>
      <c r="E85" s="1"/>
      <c r="F85" s="2"/>
    </row>
    <row r="86" spans="1:6" ht="20.25" customHeight="1" x14ac:dyDescent="0.3">
      <c r="A86" s="385"/>
      <c r="B86" s="111">
        <v>853</v>
      </c>
      <c r="C86" s="111">
        <v>297</v>
      </c>
      <c r="D86" s="3">
        <f t="shared" si="1"/>
        <v>0</v>
      </c>
      <c r="E86" s="1"/>
      <c r="F86" s="2"/>
    </row>
    <row r="87" spans="1:6" ht="60" customHeight="1" x14ac:dyDescent="0.3">
      <c r="A87" s="109" t="s">
        <v>59</v>
      </c>
      <c r="B87" s="111" t="s">
        <v>5</v>
      </c>
      <c r="C87" s="111">
        <v>300</v>
      </c>
      <c r="D87" s="3">
        <f t="shared" si="1"/>
        <v>3530870.2</v>
      </c>
      <c r="E87" s="1">
        <f>E89+E91+E90</f>
        <v>3530870.2</v>
      </c>
      <c r="F87" s="2">
        <f>F89+F91+F90</f>
        <v>0</v>
      </c>
    </row>
    <row r="88" spans="1:6" ht="24.75" customHeight="1" x14ac:dyDescent="0.3">
      <c r="A88" s="109" t="s">
        <v>9</v>
      </c>
      <c r="B88" s="111"/>
      <c r="C88" s="111"/>
      <c r="D88" s="3"/>
      <c r="E88" s="1"/>
      <c r="F88" s="2"/>
    </row>
    <row r="89" spans="1:6" ht="62.25" customHeight="1" x14ac:dyDescent="0.3">
      <c r="A89" s="109" t="s">
        <v>36</v>
      </c>
      <c r="B89" s="111">
        <v>244</v>
      </c>
      <c r="C89" s="111">
        <v>310</v>
      </c>
      <c r="D89" s="3">
        <f t="shared" si="1"/>
        <v>3424860.2</v>
      </c>
      <c r="E89" s="1">
        <f>2674870.2+436000+278190+35800</f>
        <v>3424860.2</v>
      </c>
      <c r="F89" s="2"/>
    </row>
    <row r="90" spans="1:6" ht="81.75" customHeight="1" x14ac:dyDescent="0.3">
      <c r="A90" s="109" t="s">
        <v>68</v>
      </c>
      <c r="B90" s="111">
        <v>244</v>
      </c>
      <c r="C90" s="111">
        <v>320</v>
      </c>
      <c r="D90" s="3">
        <f t="shared" si="1"/>
        <v>0</v>
      </c>
      <c r="E90" s="1"/>
      <c r="F90" s="2"/>
    </row>
    <row r="91" spans="1:6" ht="78" customHeight="1" x14ac:dyDescent="0.3">
      <c r="A91" s="109" t="s">
        <v>60</v>
      </c>
      <c r="B91" s="111" t="s">
        <v>5</v>
      </c>
      <c r="C91" s="111">
        <v>340</v>
      </c>
      <c r="D91" s="3">
        <f t="shared" si="1"/>
        <v>106010</v>
      </c>
      <c r="E91" s="1">
        <f>E93+E94+E95+E96+E97+E98+E100</f>
        <v>106010</v>
      </c>
      <c r="F91" s="2">
        <f>F93+F94+F95+F96+F97+F98+F100</f>
        <v>0</v>
      </c>
    </row>
    <row r="92" spans="1:6" ht="21.75" customHeight="1" x14ac:dyDescent="0.3">
      <c r="A92" s="109" t="s">
        <v>6</v>
      </c>
      <c r="B92" s="111"/>
      <c r="C92" s="111"/>
      <c r="D92" s="3"/>
      <c r="E92" s="1"/>
      <c r="F92" s="2"/>
    </row>
    <row r="93" spans="1:6" ht="141.75" customHeight="1" x14ac:dyDescent="0.3">
      <c r="A93" s="109" t="s">
        <v>37</v>
      </c>
      <c r="B93" s="111">
        <v>244</v>
      </c>
      <c r="C93" s="111">
        <v>341</v>
      </c>
      <c r="D93" s="3">
        <f t="shared" si="1"/>
        <v>0</v>
      </c>
      <c r="E93" s="1"/>
      <c r="F93" s="2"/>
    </row>
    <row r="94" spans="1:6" ht="68.25" customHeight="1" x14ac:dyDescent="0.3">
      <c r="A94" s="109" t="s">
        <v>38</v>
      </c>
      <c r="B94" s="111">
        <v>244</v>
      </c>
      <c r="C94" s="111">
        <v>342</v>
      </c>
      <c r="D94" s="3">
        <f t="shared" si="1"/>
        <v>0</v>
      </c>
      <c r="E94" s="1"/>
      <c r="F94" s="2"/>
    </row>
    <row r="95" spans="1:6" ht="72" x14ac:dyDescent="0.3">
      <c r="A95" s="109" t="s">
        <v>39</v>
      </c>
      <c r="B95" s="111">
        <v>244</v>
      </c>
      <c r="C95" s="111">
        <v>343</v>
      </c>
      <c r="D95" s="3">
        <f t="shared" si="1"/>
        <v>0</v>
      </c>
      <c r="E95" s="1"/>
      <c r="F95" s="2"/>
    </row>
    <row r="96" spans="1:6" ht="85.5" customHeight="1" x14ac:dyDescent="0.3">
      <c r="A96" s="109" t="s">
        <v>40</v>
      </c>
      <c r="B96" s="111">
        <v>244</v>
      </c>
      <c r="C96" s="111">
        <v>344</v>
      </c>
      <c r="D96" s="3">
        <f t="shared" si="1"/>
        <v>0</v>
      </c>
      <c r="E96" s="1"/>
      <c r="F96" s="2"/>
    </row>
    <row r="97" spans="1:6" ht="64.5" customHeight="1" x14ac:dyDescent="0.3">
      <c r="A97" s="109" t="s">
        <v>41</v>
      </c>
      <c r="B97" s="111">
        <v>244</v>
      </c>
      <c r="C97" s="111">
        <v>345</v>
      </c>
      <c r="D97" s="3">
        <f t="shared" si="1"/>
        <v>0</v>
      </c>
      <c r="E97" s="1"/>
      <c r="F97" s="2"/>
    </row>
    <row r="98" spans="1:6" ht="80.25" customHeight="1" x14ac:dyDescent="0.3">
      <c r="A98" s="109" t="s">
        <v>42</v>
      </c>
      <c r="B98" s="111">
        <v>244</v>
      </c>
      <c r="C98" s="111">
        <v>346</v>
      </c>
      <c r="D98" s="3">
        <f t="shared" si="1"/>
        <v>106010</v>
      </c>
      <c r="E98" s="1">
        <f>71810+34200</f>
        <v>106010</v>
      </c>
      <c r="F98" s="2"/>
    </row>
    <row r="99" spans="1:6" ht="118.5" customHeight="1" x14ac:dyDescent="0.3">
      <c r="A99" s="261" t="s">
        <v>446</v>
      </c>
      <c r="B99" s="262">
        <v>244</v>
      </c>
      <c r="C99" s="262">
        <v>347</v>
      </c>
      <c r="D99" s="3">
        <v>0</v>
      </c>
      <c r="E99" s="1"/>
      <c r="F99" s="2"/>
    </row>
    <row r="100" spans="1:6" ht="120" customHeight="1" x14ac:dyDescent="0.3">
      <c r="A100" s="109" t="s">
        <v>43</v>
      </c>
      <c r="B100" s="111">
        <v>244</v>
      </c>
      <c r="C100" s="111">
        <v>349</v>
      </c>
      <c r="D100" s="3">
        <f t="shared" si="1"/>
        <v>0</v>
      </c>
      <c r="E100" s="1"/>
      <c r="F100" s="2"/>
    </row>
    <row r="101" spans="1:6" ht="59.25" customHeight="1" x14ac:dyDescent="0.3">
      <c r="A101" s="109" t="s">
        <v>67</v>
      </c>
      <c r="B101" s="111" t="s">
        <v>5</v>
      </c>
      <c r="C101" s="111" t="s">
        <v>5</v>
      </c>
      <c r="D101" s="3">
        <f t="shared" si="1"/>
        <v>0</v>
      </c>
      <c r="E101" s="1">
        <f>E103+E104+E105</f>
        <v>0</v>
      </c>
      <c r="F101" s="2">
        <f>F103+F104+F105</f>
        <v>0</v>
      </c>
    </row>
    <row r="102" spans="1:6" ht="21.75" customHeight="1" x14ac:dyDescent="0.3">
      <c r="A102" s="109" t="s">
        <v>6</v>
      </c>
      <c r="B102" s="111"/>
      <c r="C102" s="111"/>
      <c r="D102" s="3"/>
      <c r="E102" s="1"/>
      <c r="F102" s="2"/>
    </row>
    <row r="103" spans="1:6" ht="23.25" customHeight="1" x14ac:dyDescent="0.3">
      <c r="A103" s="109" t="s">
        <v>193</v>
      </c>
      <c r="B103" s="111">
        <v>180</v>
      </c>
      <c r="C103" s="111" t="s">
        <v>5</v>
      </c>
      <c r="D103" s="3">
        <f t="shared" si="1"/>
        <v>0</v>
      </c>
      <c r="E103" s="1"/>
      <c r="F103" s="2"/>
    </row>
    <row r="104" spans="1:6" ht="54" x14ac:dyDescent="0.3">
      <c r="A104" s="109" t="s">
        <v>194</v>
      </c>
      <c r="B104" s="111">
        <v>180</v>
      </c>
      <c r="C104" s="111" t="s">
        <v>5</v>
      </c>
      <c r="D104" s="3">
        <f t="shared" si="1"/>
        <v>0</v>
      </c>
      <c r="E104" s="1"/>
      <c r="F104" s="2"/>
    </row>
    <row r="105" spans="1:6" ht="36.6" thickBot="1" x14ac:dyDescent="0.35">
      <c r="A105" s="30" t="s">
        <v>195</v>
      </c>
      <c r="B105" s="31">
        <v>180</v>
      </c>
      <c r="C105" s="31" t="s">
        <v>5</v>
      </c>
      <c r="D105" s="32">
        <f t="shared" si="1"/>
        <v>0</v>
      </c>
      <c r="E105" s="33"/>
      <c r="F105" s="91"/>
    </row>
    <row r="106" spans="1:6" ht="18" x14ac:dyDescent="0.3">
      <c r="A106" s="13"/>
      <c r="B106" s="17"/>
      <c r="C106" s="17"/>
      <c r="D106" s="34"/>
      <c r="E106" s="34"/>
      <c r="F106" s="34"/>
    </row>
    <row r="107" spans="1:6" ht="15" x14ac:dyDescent="0.3">
      <c r="A107" s="9"/>
    </row>
    <row r="108" spans="1:6" ht="18" x14ac:dyDescent="0.35">
      <c r="A108" s="395" t="s">
        <v>52</v>
      </c>
      <c r="B108" s="395"/>
      <c r="C108" s="182"/>
      <c r="D108" s="183"/>
      <c r="E108" s="400" t="s">
        <v>267</v>
      </c>
      <c r="F108" s="400"/>
    </row>
    <row r="109" spans="1:6" ht="18" x14ac:dyDescent="0.35">
      <c r="A109" s="27"/>
      <c r="B109" s="174"/>
      <c r="C109" s="173"/>
      <c r="D109" s="173" t="s">
        <v>53</v>
      </c>
      <c r="E109" s="401" t="s">
        <v>54</v>
      </c>
      <c r="F109" s="401"/>
    </row>
    <row r="110" spans="1:6" ht="18" x14ac:dyDescent="0.35">
      <c r="A110" s="27"/>
      <c r="B110" s="176"/>
      <c r="C110" s="8"/>
      <c r="D110" s="8"/>
      <c r="E110" s="8"/>
      <c r="F110" s="8"/>
    </row>
    <row r="111" spans="1:6" ht="18" x14ac:dyDescent="0.35">
      <c r="A111" s="395" t="s">
        <v>55</v>
      </c>
      <c r="B111" s="395"/>
      <c r="C111" s="182"/>
      <c r="D111" s="183"/>
      <c r="E111" s="400" t="s">
        <v>464</v>
      </c>
      <c r="F111" s="400"/>
    </row>
    <row r="112" spans="1:6" ht="18" x14ac:dyDescent="0.35">
      <c r="A112" s="27"/>
      <c r="B112" s="174"/>
      <c r="C112" s="173"/>
      <c r="D112" s="173" t="s">
        <v>53</v>
      </c>
      <c r="E112" s="401" t="s">
        <v>54</v>
      </c>
      <c r="F112" s="401"/>
    </row>
    <row r="113" spans="1:10" ht="18" x14ac:dyDescent="0.35">
      <c r="A113" s="27"/>
      <c r="B113" s="175"/>
      <c r="C113" s="241"/>
      <c r="D113" s="8"/>
      <c r="E113" s="241"/>
      <c r="F113" s="241"/>
    </row>
    <row r="114" spans="1:10" ht="18" x14ac:dyDescent="0.35">
      <c r="A114" s="27" t="s">
        <v>56</v>
      </c>
      <c r="B114" s="174"/>
      <c r="C114" s="182"/>
      <c r="D114" s="183"/>
      <c r="E114" s="400" t="s">
        <v>268</v>
      </c>
      <c r="F114" s="400"/>
    </row>
    <row r="115" spans="1:10" ht="18" x14ac:dyDescent="0.35">
      <c r="A115" s="27"/>
      <c r="B115" s="174"/>
      <c r="C115" s="173"/>
      <c r="D115" s="173" t="s">
        <v>53</v>
      </c>
      <c r="E115" s="401" t="s">
        <v>54</v>
      </c>
      <c r="F115" s="401"/>
    </row>
    <row r="116" spans="1:10" ht="18" x14ac:dyDescent="0.35">
      <c r="A116" s="27" t="s">
        <v>428</v>
      </c>
      <c r="B116" s="8"/>
      <c r="C116" s="8"/>
      <c r="D116" s="8"/>
      <c r="E116" s="8"/>
      <c r="F116" s="8"/>
    </row>
    <row r="117" spans="1:10" ht="18" x14ac:dyDescent="0.35">
      <c r="A117" s="396" t="s">
        <v>483</v>
      </c>
      <c r="B117" s="396"/>
      <c r="C117" s="8"/>
      <c r="D117" s="8"/>
      <c r="E117" s="8"/>
      <c r="F117" s="8"/>
    </row>
    <row r="118" spans="1:10" ht="18" x14ac:dyDescent="0.35">
      <c r="A118" s="240"/>
      <c r="B118" s="240"/>
      <c r="C118" s="8"/>
      <c r="D118" s="8"/>
      <c r="E118" s="8"/>
      <c r="F118" s="8"/>
    </row>
    <row r="119" spans="1:10" ht="17.399999999999999" x14ac:dyDescent="0.3">
      <c r="A119" s="402" t="s">
        <v>191</v>
      </c>
      <c r="B119" s="402"/>
      <c r="C119" s="402"/>
      <c r="D119" s="402"/>
      <c r="E119" s="402"/>
      <c r="F119" s="402"/>
    </row>
    <row r="120" spans="1:10" ht="18" x14ac:dyDescent="0.3">
      <c r="A120" s="48" t="s">
        <v>183</v>
      </c>
      <c r="B120" s="52" t="s">
        <v>5</v>
      </c>
      <c r="C120" s="52" t="s">
        <v>5</v>
      </c>
      <c r="D120" s="3">
        <f>E120+F120</f>
        <v>0</v>
      </c>
      <c r="E120" s="1"/>
      <c r="F120" s="2"/>
      <c r="H120" s="65"/>
      <c r="I120" s="65"/>
      <c r="J120" s="65"/>
    </row>
    <row r="121" spans="1:10" ht="18" x14ac:dyDescent="0.3">
      <c r="A121" s="48" t="s">
        <v>7</v>
      </c>
      <c r="B121" s="52" t="s">
        <v>5</v>
      </c>
      <c r="C121" s="52">
        <v>900</v>
      </c>
      <c r="D121" s="3">
        <f>E121+F121</f>
        <v>4635320.2</v>
      </c>
      <c r="E121" s="1">
        <f>E124+E152+E166+E194</f>
        <v>4635320.2</v>
      </c>
      <c r="F121" s="1">
        <f>F124+F152</f>
        <v>0</v>
      </c>
      <c r="H121" s="66"/>
      <c r="I121" s="66"/>
      <c r="J121" s="66"/>
    </row>
    <row r="122" spans="1:10" ht="18" x14ac:dyDescent="0.3">
      <c r="A122" s="48" t="s">
        <v>6</v>
      </c>
      <c r="B122" s="52"/>
      <c r="C122" s="52"/>
      <c r="D122" s="3"/>
      <c r="E122" s="1"/>
      <c r="F122" s="2"/>
    </row>
    <row r="123" spans="1:10" ht="17.399999999999999" customHeight="1" x14ac:dyDescent="0.3">
      <c r="A123" s="397" t="s">
        <v>199</v>
      </c>
      <c r="B123" s="398"/>
      <c r="C123" s="398"/>
      <c r="D123" s="398"/>
      <c r="E123" s="398"/>
      <c r="F123" s="399"/>
    </row>
    <row r="124" spans="1:10" ht="18" x14ac:dyDescent="0.3">
      <c r="A124" s="48" t="s">
        <v>8</v>
      </c>
      <c r="B124" s="52" t="s">
        <v>5</v>
      </c>
      <c r="C124" s="52">
        <v>200</v>
      </c>
      <c r="D124" s="3">
        <f t="shared" ref="D124:D156" si="2">E124+F124</f>
        <v>0</v>
      </c>
      <c r="E124" s="1">
        <f>E126+E129+E148</f>
        <v>0</v>
      </c>
      <c r="F124" s="1">
        <f>F126+F129+F148</f>
        <v>0</v>
      </c>
    </row>
    <row r="125" spans="1:10" ht="18" x14ac:dyDescent="0.3">
      <c r="A125" s="48" t="s">
        <v>9</v>
      </c>
      <c r="B125" s="52"/>
      <c r="C125" s="52"/>
      <c r="D125" s="3"/>
      <c r="E125" s="1"/>
      <c r="F125" s="1"/>
    </row>
    <row r="126" spans="1:10" ht="72" x14ac:dyDescent="0.3">
      <c r="A126" s="48" t="s">
        <v>10</v>
      </c>
      <c r="B126" s="52" t="s">
        <v>5</v>
      </c>
      <c r="C126" s="52">
        <v>210</v>
      </c>
      <c r="D126" s="3">
        <f t="shared" si="2"/>
        <v>0</v>
      </c>
      <c r="E126" s="1">
        <f>E128</f>
        <v>0</v>
      </c>
      <c r="F126" s="1">
        <f>F128</f>
        <v>0</v>
      </c>
    </row>
    <row r="127" spans="1:10" ht="18" x14ac:dyDescent="0.3">
      <c r="A127" s="48" t="s">
        <v>9</v>
      </c>
      <c r="B127" s="52"/>
      <c r="C127" s="52"/>
      <c r="D127" s="3"/>
      <c r="E127" s="1"/>
      <c r="F127" s="1"/>
    </row>
    <row r="128" spans="1:10" ht="72" x14ac:dyDescent="0.3">
      <c r="A128" s="48" t="s">
        <v>200</v>
      </c>
      <c r="B128" s="52">
        <v>244</v>
      </c>
      <c r="C128" s="52">
        <v>214</v>
      </c>
      <c r="D128" s="3">
        <f>E128+F128</f>
        <v>0</v>
      </c>
      <c r="E128" s="1"/>
      <c r="F128" s="1"/>
    </row>
    <row r="129" spans="1:6" ht="36" x14ac:dyDescent="0.3">
      <c r="A129" s="48" t="s">
        <v>14</v>
      </c>
      <c r="B129" s="52" t="s">
        <v>5</v>
      </c>
      <c r="C129" s="52">
        <v>220</v>
      </c>
      <c r="D129" s="3">
        <f t="shared" si="2"/>
        <v>0</v>
      </c>
      <c r="E129" s="1">
        <f>E131+E132+E133+E140+E141+E144+E147</f>
        <v>0</v>
      </c>
      <c r="F129" s="1">
        <f>F131+F132+F133+F140+F141+F144+F147</f>
        <v>0</v>
      </c>
    </row>
    <row r="130" spans="1:6" ht="18" x14ac:dyDescent="0.3">
      <c r="A130" s="48" t="s">
        <v>9</v>
      </c>
      <c r="B130" s="52"/>
      <c r="C130" s="52"/>
      <c r="D130" s="3"/>
      <c r="E130" s="1"/>
      <c r="F130" s="1"/>
    </row>
    <row r="131" spans="1:6" ht="18" x14ac:dyDescent="0.3">
      <c r="A131" s="48" t="s">
        <v>15</v>
      </c>
      <c r="B131" s="52">
        <v>244</v>
      </c>
      <c r="C131" s="52">
        <v>221</v>
      </c>
      <c r="D131" s="3">
        <f t="shared" si="2"/>
        <v>0</v>
      </c>
      <c r="E131" s="1"/>
      <c r="F131" s="1"/>
    </row>
    <row r="132" spans="1:6" ht="36" x14ac:dyDescent="0.3">
      <c r="A132" s="48" t="s">
        <v>16</v>
      </c>
      <c r="B132" s="52">
        <v>244</v>
      </c>
      <c r="C132" s="52">
        <v>222</v>
      </c>
      <c r="D132" s="3">
        <f t="shared" si="2"/>
        <v>0</v>
      </c>
      <c r="E132" s="1"/>
      <c r="F132" s="1"/>
    </row>
    <row r="133" spans="1:6" ht="36" x14ac:dyDescent="0.3">
      <c r="A133" s="48" t="s">
        <v>17</v>
      </c>
      <c r="B133" s="52" t="s">
        <v>5</v>
      </c>
      <c r="C133" s="52">
        <v>223</v>
      </c>
      <c r="D133" s="3">
        <f t="shared" si="2"/>
        <v>0</v>
      </c>
      <c r="E133" s="1">
        <f>E135+E136+E137+E138+E139</f>
        <v>0</v>
      </c>
      <c r="F133" s="1">
        <f>F135+F136+F137+F138+F139</f>
        <v>0</v>
      </c>
    </row>
    <row r="134" spans="1:6" ht="18" x14ac:dyDescent="0.3">
      <c r="A134" s="48" t="s">
        <v>6</v>
      </c>
      <c r="B134" s="52"/>
      <c r="C134" s="52"/>
      <c r="D134" s="3"/>
      <c r="E134" s="1"/>
      <c r="F134" s="1"/>
    </row>
    <row r="135" spans="1:6" ht="54" x14ac:dyDescent="0.3">
      <c r="A135" s="48" t="s">
        <v>18</v>
      </c>
      <c r="B135" s="52">
        <v>244</v>
      </c>
      <c r="C135" s="52">
        <v>223</v>
      </c>
      <c r="D135" s="3">
        <f t="shared" si="2"/>
        <v>0</v>
      </c>
      <c r="E135" s="1"/>
      <c r="F135" s="1"/>
    </row>
    <row r="136" spans="1:6" ht="36" x14ac:dyDescent="0.3">
      <c r="A136" s="48" t="s">
        <v>19</v>
      </c>
      <c r="B136" s="52">
        <v>244</v>
      </c>
      <c r="C136" s="52">
        <v>223</v>
      </c>
      <c r="D136" s="3">
        <f t="shared" si="2"/>
        <v>0</v>
      </c>
      <c r="E136" s="1"/>
      <c r="F136" s="1"/>
    </row>
    <row r="137" spans="1:6" ht="54" x14ac:dyDescent="0.3">
      <c r="A137" s="48" t="s">
        <v>20</v>
      </c>
      <c r="B137" s="52">
        <v>244</v>
      </c>
      <c r="C137" s="52">
        <v>223</v>
      </c>
      <c r="D137" s="3">
        <f t="shared" si="2"/>
        <v>0</v>
      </c>
      <c r="E137" s="1"/>
      <c r="F137" s="1"/>
    </row>
    <row r="138" spans="1:6" ht="72" x14ac:dyDescent="0.3">
      <c r="A138" s="48" t="s">
        <v>21</v>
      </c>
      <c r="B138" s="52">
        <v>244</v>
      </c>
      <c r="C138" s="52">
        <v>223</v>
      </c>
      <c r="D138" s="3">
        <f t="shared" si="2"/>
        <v>0</v>
      </c>
      <c r="E138" s="1"/>
      <c r="F138" s="1"/>
    </row>
    <row r="139" spans="1:6" ht="54" x14ac:dyDescent="0.3">
      <c r="A139" s="48" t="s">
        <v>22</v>
      </c>
      <c r="B139" s="52">
        <v>244</v>
      </c>
      <c r="C139" s="52">
        <v>223</v>
      </c>
      <c r="D139" s="3">
        <f t="shared" si="2"/>
        <v>0</v>
      </c>
      <c r="E139" s="1"/>
      <c r="F139" s="1"/>
    </row>
    <row r="140" spans="1:6" ht="162" x14ac:dyDescent="0.3">
      <c r="A140" s="48" t="s">
        <v>23</v>
      </c>
      <c r="B140" s="52">
        <v>244</v>
      </c>
      <c r="C140" s="52">
        <v>224</v>
      </c>
      <c r="D140" s="3">
        <f t="shared" si="2"/>
        <v>0</v>
      </c>
      <c r="E140" s="1"/>
      <c r="F140" s="1"/>
    </row>
    <row r="141" spans="1:6" ht="54" x14ac:dyDescent="0.3">
      <c r="A141" s="48" t="s">
        <v>24</v>
      </c>
      <c r="B141" s="52" t="s">
        <v>5</v>
      </c>
      <c r="C141" s="52">
        <v>225</v>
      </c>
      <c r="D141" s="1">
        <f>D142+D143</f>
        <v>0</v>
      </c>
      <c r="E141" s="1">
        <f>E142+E143</f>
        <v>0</v>
      </c>
      <c r="F141" s="1">
        <f>F142+F143</f>
        <v>0</v>
      </c>
    </row>
    <row r="142" spans="1:6" ht="18" x14ac:dyDescent="0.3">
      <c r="A142" s="385" t="s">
        <v>6</v>
      </c>
      <c r="B142" s="52">
        <v>243</v>
      </c>
      <c r="C142" s="52">
        <v>225</v>
      </c>
      <c r="D142" s="3">
        <f t="shared" si="2"/>
        <v>0</v>
      </c>
      <c r="E142" s="1"/>
      <c r="F142" s="1"/>
    </row>
    <row r="143" spans="1:6" ht="18" x14ac:dyDescent="0.3">
      <c r="A143" s="385"/>
      <c r="B143" s="52">
        <v>244</v>
      </c>
      <c r="C143" s="52">
        <v>225</v>
      </c>
      <c r="D143" s="3">
        <f t="shared" si="2"/>
        <v>0</v>
      </c>
      <c r="E143" s="1"/>
      <c r="F143" s="1"/>
    </row>
    <row r="144" spans="1:6" ht="36" x14ac:dyDescent="0.3">
      <c r="A144" s="48" t="s">
        <v>58</v>
      </c>
      <c r="B144" s="52" t="s">
        <v>5</v>
      </c>
      <c r="C144" s="52">
        <v>226</v>
      </c>
      <c r="D144" s="3">
        <f t="shared" si="2"/>
        <v>0</v>
      </c>
      <c r="E144" s="1">
        <f>E145+E146</f>
        <v>0</v>
      </c>
      <c r="F144" s="1">
        <f>F145+F146</f>
        <v>0</v>
      </c>
    </row>
    <row r="145" spans="1:6" ht="18" x14ac:dyDescent="0.3">
      <c r="A145" s="385" t="s">
        <v>6</v>
      </c>
      <c r="B145" s="52">
        <v>243</v>
      </c>
      <c r="C145" s="52">
        <v>226</v>
      </c>
      <c r="D145" s="3">
        <f t="shared" si="2"/>
        <v>0</v>
      </c>
      <c r="E145" s="1"/>
      <c r="F145" s="1"/>
    </row>
    <row r="146" spans="1:6" ht="18" x14ac:dyDescent="0.3">
      <c r="A146" s="385"/>
      <c r="B146" s="52">
        <v>244</v>
      </c>
      <c r="C146" s="52">
        <v>226</v>
      </c>
      <c r="D146" s="3">
        <f t="shared" si="2"/>
        <v>0</v>
      </c>
      <c r="E146" s="1"/>
      <c r="F146" s="1"/>
    </row>
    <row r="147" spans="1:6" ht="18" x14ac:dyDescent="0.3">
      <c r="A147" s="48" t="s">
        <v>25</v>
      </c>
      <c r="B147" s="52">
        <v>244</v>
      </c>
      <c r="C147" s="52">
        <v>227</v>
      </c>
      <c r="D147" s="3">
        <f t="shared" si="2"/>
        <v>0</v>
      </c>
      <c r="E147" s="1"/>
      <c r="F147" s="1"/>
    </row>
    <row r="148" spans="1:6" ht="18" x14ac:dyDescent="0.3">
      <c r="A148" s="48" t="s">
        <v>30</v>
      </c>
      <c r="B148" s="52" t="s">
        <v>5</v>
      </c>
      <c r="C148" s="52">
        <v>290</v>
      </c>
      <c r="D148" s="3">
        <f t="shared" si="2"/>
        <v>0</v>
      </c>
      <c r="E148" s="1">
        <f>E150+E151</f>
        <v>0</v>
      </c>
      <c r="F148" s="1">
        <f>F150+F151</f>
        <v>0</v>
      </c>
    </row>
    <row r="149" spans="1:6" ht="18" x14ac:dyDescent="0.3">
      <c r="A149" s="48" t="s">
        <v>9</v>
      </c>
      <c r="B149" s="52"/>
      <c r="C149" s="52"/>
      <c r="D149" s="3">
        <f t="shared" si="2"/>
        <v>0</v>
      </c>
      <c r="E149" s="1"/>
      <c r="F149" s="1"/>
    </row>
    <row r="150" spans="1:6" ht="54" x14ac:dyDescent="0.3">
      <c r="A150" s="48" t="s">
        <v>34</v>
      </c>
      <c r="B150" s="52">
        <v>244</v>
      </c>
      <c r="C150" s="52">
        <v>296</v>
      </c>
      <c r="D150" s="3">
        <f t="shared" si="2"/>
        <v>0</v>
      </c>
      <c r="E150" s="1"/>
      <c r="F150" s="1"/>
    </row>
    <row r="151" spans="1:6" ht="54" x14ac:dyDescent="0.3">
      <c r="A151" s="48" t="s">
        <v>35</v>
      </c>
      <c r="B151" s="52">
        <v>244</v>
      </c>
      <c r="C151" s="52">
        <v>297</v>
      </c>
      <c r="D151" s="3">
        <f t="shared" si="2"/>
        <v>0</v>
      </c>
      <c r="E151" s="1"/>
      <c r="F151" s="1"/>
    </row>
    <row r="152" spans="1:6" ht="54" x14ac:dyDescent="0.3">
      <c r="A152" s="48" t="s">
        <v>59</v>
      </c>
      <c r="B152" s="52" t="s">
        <v>5</v>
      </c>
      <c r="C152" s="52">
        <v>300</v>
      </c>
      <c r="D152" s="3">
        <f t="shared" si="2"/>
        <v>0</v>
      </c>
      <c r="E152" s="1">
        <f>E154+E156+E155</f>
        <v>0</v>
      </c>
      <c r="F152" s="1">
        <f>F154+F156+F155</f>
        <v>0</v>
      </c>
    </row>
    <row r="153" spans="1:6" ht="18" x14ac:dyDescent="0.3">
      <c r="A153" s="48" t="s">
        <v>9</v>
      </c>
      <c r="B153" s="52"/>
      <c r="C153" s="52"/>
      <c r="D153" s="3"/>
      <c r="E153" s="1"/>
      <c r="F153" s="1"/>
    </row>
    <row r="154" spans="1:6" ht="54" x14ac:dyDescent="0.3">
      <c r="A154" s="48" t="s">
        <v>36</v>
      </c>
      <c r="B154" s="52">
        <v>244</v>
      </c>
      <c r="C154" s="52">
        <v>310</v>
      </c>
      <c r="D154" s="3">
        <f t="shared" si="2"/>
        <v>0</v>
      </c>
      <c r="E154" s="1"/>
      <c r="F154" s="1"/>
    </row>
    <row r="155" spans="1:6" ht="72" x14ac:dyDescent="0.3">
      <c r="A155" s="48" t="s">
        <v>68</v>
      </c>
      <c r="B155" s="52">
        <v>244</v>
      </c>
      <c r="C155" s="52">
        <v>320</v>
      </c>
      <c r="D155" s="3">
        <f t="shared" si="2"/>
        <v>0</v>
      </c>
      <c r="E155" s="1"/>
      <c r="F155" s="1"/>
    </row>
    <row r="156" spans="1:6" ht="72" x14ac:dyDescent="0.3">
      <c r="A156" s="48" t="s">
        <v>60</v>
      </c>
      <c r="B156" s="52" t="s">
        <v>5</v>
      </c>
      <c r="C156" s="52">
        <v>340</v>
      </c>
      <c r="D156" s="3">
        <f t="shared" si="2"/>
        <v>0</v>
      </c>
      <c r="E156" s="1">
        <f>E158+E159+E160+E161+E162+E163+E164</f>
        <v>0</v>
      </c>
      <c r="F156" s="1">
        <f>F158+F159+F160+F161+F162+F163+F164</f>
        <v>0</v>
      </c>
    </row>
    <row r="157" spans="1:6" ht="18" x14ac:dyDescent="0.3">
      <c r="A157" s="48" t="s">
        <v>6</v>
      </c>
      <c r="B157" s="52"/>
      <c r="C157" s="52"/>
      <c r="D157" s="3"/>
      <c r="E157" s="1"/>
      <c r="F157" s="1"/>
    </row>
    <row r="158" spans="1:6" ht="126" x14ac:dyDescent="0.3">
      <c r="A158" s="48" t="s">
        <v>37</v>
      </c>
      <c r="B158" s="52">
        <v>244</v>
      </c>
      <c r="C158" s="52">
        <v>341</v>
      </c>
      <c r="D158" s="3">
        <f t="shared" ref="D158:D164" si="3">E158+F158</f>
        <v>0</v>
      </c>
      <c r="E158" s="1"/>
      <c r="F158" s="1"/>
    </row>
    <row r="159" spans="1:6" ht="54" x14ac:dyDescent="0.3">
      <c r="A159" s="48" t="s">
        <v>38</v>
      </c>
      <c r="B159" s="52">
        <v>244</v>
      </c>
      <c r="C159" s="52">
        <v>342</v>
      </c>
      <c r="D159" s="3">
        <f t="shared" si="3"/>
        <v>0</v>
      </c>
      <c r="E159" s="1"/>
      <c r="F159" s="1"/>
    </row>
    <row r="160" spans="1:6" ht="72" x14ac:dyDescent="0.3">
      <c r="A160" s="48" t="s">
        <v>39</v>
      </c>
      <c r="B160" s="52">
        <v>244</v>
      </c>
      <c r="C160" s="52">
        <v>343</v>
      </c>
      <c r="D160" s="3">
        <f t="shared" si="3"/>
        <v>0</v>
      </c>
      <c r="E160" s="1"/>
      <c r="F160" s="1"/>
    </row>
    <row r="161" spans="1:6" ht="72" x14ac:dyDescent="0.3">
      <c r="A161" s="48" t="s">
        <v>40</v>
      </c>
      <c r="B161" s="52">
        <v>244</v>
      </c>
      <c r="C161" s="52">
        <v>344</v>
      </c>
      <c r="D161" s="3">
        <f t="shared" si="3"/>
        <v>0</v>
      </c>
      <c r="E161" s="1"/>
      <c r="F161" s="1"/>
    </row>
    <row r="162" spans="1:6" ht="54" x14ac:dyDescent="0.3">
      <c r="A162" s="48" t="s">
        <v>41</v>
      </c>
      <c r="B162" s="52">
        <v>244</v>
      </c>
      <c r="C162" s="52">
        <v>345</v>
      </c>
      <c r="D162" s="3">
        <f t="shared" si="3"/>
        <v>0</v>
      </c>
      <c r="E162" s="1"/>
      <c r="F162" s="1"/>
    </row>
    <row r="163" spans="1:6" ht="72" x14ac:dyDescent="0.3">
      <c r="A163" s="48" t="s">
        <v>42</v>
      </c>
      <c r="B163" s="52">
        <v>244</v>
      </c>
      <c r="C163" s="52">
        <v>346</v>
      </c>
      <c r="D163" s="3">
        <f t="shared" si="3"/>
        <v>0</v>
      </c>
      <c r="E163" s="1"/>
      <c r="F163" s="1"/>
    </row>
    <row r="164" spans="1:6" ht="108" x14ac:dyDescent="0.3">
      <c r="A164" s="48" t="s">
        <v>43</v>
      </c>
      <c r="B164" s="52">
        <v>244</v>
      </c>
      <c r="C164" s="52">
        <v>349</v>
      </c>
      <c r="D164" s="3">
        <f t="shared" si="3"/>
        <v>0</v>
      </c>
      <c r="E164" s="1"/>
      <c r="F164" s="1"/>
    </row>
    <row r="165" spans="1:6" ht="17.399999999999999" customHeight="1" x14ac:dyDescent="0.3">
      <c r="A165" s="397" t="s">
        <v>201</v>
      </c>
      <c r="B165" s="398"/>
      <c r="C165" s="398"/>
      <c r="D165" s="398"/>
      <c r="E165" s="398"/>
      <c r="F165" s="399"/>
    </row>
    <row r="166" spans="1:6" ht="18" x14ac:dyDescent="0.3">
      <c r="A166" s="48" t="s">
        <v>8</v>
      </c>
      <c r="B166" s="52" t="s">
        <v>5</v>
      </c>
      <c r="C166" s="52">
        <v>200</v>
      </c>
      <c r="D166" s="3">
        <f>E166+F166</f>
        <v>1104450</v>
      </c>
      <c r="E166" s="1">
        <f>E168+E171+E190</f>
        <v>1104450</v>
      </c>
      <c r="F166" s="1">
        <f>F168+F171+F190</f>
        <v>0</v>
      </c>
    </row>
    <row r="167" spans="1:6" ht="18" x14ac:dyDescent="0.3">
      <c r="A167" s="48" t="s">
        <v>9</v>
      </c>
      <c r="B167" s="52"/>
      <c r="C167" s="52"/>
      <c r="D167" s="3"/>
      <c r="E167" s="1"/>
      <c r="F167" s="1"/>
    </row>
    <row r="168" spans="1:6" ht="72" x14ac:dyDescent="0.3">
      <c r="A168" s="48" t="s">
        <v>10</v>
      </c>
      <c r="B168" s="52" t="s">
        <v>5</v>
      </c>
      <c r="C168" s="52">
        <v>210</v>
      </c>
      <c r="D168" s="3">
        <f>E168+F168</f>
        <v>0</v>
      </c>
      <c r="E168" s="1">
        <f>E170</f>
        <v>0</v>
      </c>
      <c r="F168" s="1">
        <f>F170</f>
        <v>0</v>
      </c>
    </row>
    <row r="169" spans="1:6" ht="18" x14ac:dyDescent="0.3">
      <c r="A169" s="48" t="s">
        <v>9</v>
      </c>
      <c r="B169" s="52"/>
      <c r="C169" s="52"/>
      <c r="D169" s="3"/>
      <c r="E169" s="1"/>
      <c r="F169" s="1"/>
    </row>
    <row r="170" spans="1:6" ht="72" x14ac:dyDescent="0.3">
      <c r="A170" s="48" t="s">
        <v>200</v>
      </c>
      <c r="B170" s="52">
        <v>244</v>
      </c>
      <c r="C170" s="52">
        <v>214</v>
      </c>
      <c r="D170" s="3">
        <f>E170+F170</f>
        <v>0</v>
      </c>
      <c r="E170" s="64">
        <f>E30-E128</f>
        <v>0</v>
      </c>
      <c r="F170" s="1"/>
    </row>
    <row r="171" spans="1:6" ht="36" x14ac:dyDescent="0.3">
      <c r="A171" s="48" t="s">
        <v>14</v>
      </c>
      <c r="B171" s="52" t="s">
        <v>5</v>
      </c>
      <c r="C171" s="52">
        <v>220</v>
      </c>
      <c r="D171" s="3">
        <f>E171+F171</f>
        <v>1104450</v>
      </c>
      <c r="E171" s="1">
        <f>E173+E174+E175+E182+E183+E186+E189</f>
        <v>1104450</v>
      </c>
      <c r="F171" s="1">
        <f>F173+F174+F175+F182+F183+F186+F189</f>
        <v>0</v>
      </c>
    </row>
    <row r="172" spans="1:6" ht="18" x14ac:dyDescent="0.3">
      <c r="A172" s="48" t="s">
        <v>9</v>
      </c>
      <c r="B172" s="52"/>
      <c r="C172" s="52"/>
      <c r="D172" s="3"/>
      <c r="E172" s="1"/>
      <c r="F172" s="1"/>
    </row>
    <row r="173" spans="1:6" ht="18" x14ac:dyDescent="0.3">
      <c r="A173" s="48" t="s">
        <v>15</v>
      </c>
      <c r="B173" s="52">
        <v>244</v>
      </c>
      <c r="C173" s="52">
        <v>221</v>
      </c>
      <c r="D173" s="3">
        <f>E173+F173</f>
        <v>0</v>
      </c>
      <c r="E173" s="1">
        <f>E33-E131</f>
        <v>0</v>
      </c>
      <c r="F173" s="1"/>
    </row>
    <row r="174" spans="1:6" ht="36" x14ac:dyDescent="0.3">
      <c r="A174" s="48" t="s">
        <v>16</v>
      </c>
      <c r="B174" s="52">
        <v>244</v>
      </c>
      <c r="C174" s="52">
        <v>222</v>
      </c>
      <c r="D174" s="3">
        <f>E174+F174</f>
        <v>0</v>
      </c>
      <c r="E174" s="64">
        <f>E36-E132</f>
        <v>0</v>
      </c>
      <c r="F174" s="1"/>
    </row>
    <row r="175" spans="1:6" ht="36" x14ac:dyDescent="0.3">
      <c r="A175" s="48" t="s">
        <v>17</v>
      </c>
      <c r="B175" s="52" t="s">
        <v>5</v>
      </c>
      <c r="C175" s="52">
        <v>223</v>
      </c>
      <c r="D175" s="3">
        <f>E175+F175</f>
        <v>0</v>
      </c>
      <c r="E175" s="1">
        <f>E177+E178+E179+E180+E181</f>
        <v>0</v>
      </c>
      <c r="F175" s="1">
        <f>F177+F178+F179+F180+F181</f>
        <v>0</v>
      </c>
    </row>
    <row r="176" spans="1:6" ht="18" x14ac:dyDescent="0.3">
      <c r="A176" s="48" t="s">
        <v>6</v>
      </c>
      <c r="B176" s="52"/>
      <c r="C176" s="52"/>
      <c r="D176" s="3"/>
      <c r="E176" s="1"/>
      <c r="F176" s="1"/>
    </row>
    <row r="177" spans="1:6" ht="54" x14ac:dyDescent="0.3">
      <c r="A177" s="48" t="s">
        <v>18</v>
      </c>
      <c r="B177" s="52">
        <v>244</v>
      </c>
      <c r="C177" s="52">
        <v>223</v>
      </c>
      <c r="D177" s="3">
        <f t="shared" ref="D177:D182" si="4">E177+F177</f>
        <v>0</v>
      </c>
      <c r="E177" s="1">
        <f t="shared" ref="E177:E182" si="5">E42-E135</f>
        <v>0</v>
      </c>
      <c r="F177" s="1"/>
    </row>
    <row r="178" spans="1:6" ht="36" x14ac:dyDescent="0.3">
      <c r="A178" s="48" t="s">
        <v>19</v>
      </c>
      <c r="B178" s="52">
        <v>244</v>
      </c>
      <c r="C178" s="52">
        <v>223</v>
      </c>
      <c r="D178" s="3">
        <f t="shared" si="4"/>
        <v>0</v>
      </c>
      <c r="E178" s="1">
        <f t="shared" si="5"/>
        <v>0</v>
      </c>
      <c r="F178" s="1"/>
    </row>
    <row r="179" spans="1:6" ht="54" x14ac:dyDescent="0.3">
      <c r="A179" s="48" t="s">
        <v>20</v>
      </c>
      <c r="B179" s="52">
        <v>244</v>
      </c>
      <c r="C179" s="52">
        <v>223</v>
      </c>
      <c r="D179" s="3">
        <f t="shared" si="4"/>
        <v>0</v>
      </c>
      <c r="E179" s="1">
        <f t="shared" si="5"/>
        <v>0</v>
      </c>
      <c r="F179" s="1"/>
    </row>
    <row r="180" spans="1:6" ht="72" x14ac:dyDescent="0.3">
      <c r="A180" s="48" t="s">
        <v>21</v>
      </c>
      <c r="B180" s="52">
        <v>244</v>
      </c>
      <c r="C180" s="52">
        <v>223</v>
      </c>
      <c r="D180" s="3">
        <f t="shared" si="4"/>
        <v>0</v>
      </c>
      <c r="E180" s="1">
        <f t="shared" si="5"/>
        <v>0</v>
      </c>
      <c r="F180" s="1"/>
    </row>
    <row r="181" spans="1:6" ht="54" x14ac:dyDescent="0.3">
      <c r="A181" s="48" t="s">
        <v>22</v>
      </c>
      <c r="B181" s="52">
        <v>244</v>
      </c>
      <c r="C181" s="52">
        <v>223</v>
      </c>
      <c r="D181" s="3">
        <f t="shared" si="4"/>
        <v>0</v>
      </c>
      <c r="E181" s="1">
        <f t="shared" si="5"/>
        <v>0</v>
      </c>
      <c r="F181" s="1"/>
    </row>
    <row r="182" spans="1:6" ht="162" x14ac:dyDescent="0.3">
      <c r="A182" s="48" t="s">
        <v>23</v>
      </c>
      <c r="B182" s="52">
        <v>244</v>
      </c>
      <c r="C182" s="52">
        <v>224</v>
      </c>
      <c r="D182" s="3">
        <f t="shared" si="4"/>
        <v>0</v>
      </c>
      <c r="E182" s="1">
        <f t="shared" si="5"/>
        <v>0</v>
      </c>
      <c r="F182" s="1"/>
    </row>
    <row r="183" spans="1:6" ht="54" x14ac:dyDescent="0.3">
      <c r="A183" s="48" t="s">
        <v>24</v>
      </c>
      <c r="B183" s="52" t="s">
        <v>5</v>
      </c>
      <c r="C183" s="52">
        <v>225</v>
      </c>
      <c r="D183" s="1">
        <f>D184+D185</f>
        <v>0</v>
      </c>
      <c r="E183" s="1">
        <f>E184+E185</f>
        <v>0</v>
      </c>
      <c r="F183" s="1">
        <f>F184+F185</f>
        <v>0</v>
      </c>
    </row>
    <row r="184" spans="1:6" ht="18" x14ac:dyDescent="0.3">
      <c r="A184" s="385" t="s">
        <v>6</v>
      </c>
      <c r="B184" s="52">
        <v>243</v>
      </c>
      <c r="C184" s="52">
        <v>225</v>
      </c>
      <c r="D184" s="3">
        <f t="shared" ref="D184:D194" si="6">E184+F184</f>
        <v>0</v>
      </c>
      <c r="E184" s="1">
        <f>E49-E142</f>
        <v>0</v>
      </c>
      <c r="F184" s="1"/>
    </row>
    <row r="185" spans="1:6" ht="18" x14ac:dyDescent="0.3">
      <c r="A185" s="385"/>
      <c r="B185" s="52">
        <v>244</v>
      </c>
      <c r="C185" s="52">
        <v>225</v>
      </c>
      <c r="D185" s="3">
        <f t="shared" si="6"/>
        <v>0</v>
      </c>
      <c r="E185" s="1">
        <f>E50-E143</f>
        <v>0</v>
      </c>
      <c r="F185" s="1"/>
    </row>
    <row r="186" spans="1:6" ht="36" x14ac:dyDescent="0.3">
      <c r="A186" s="48" t="s">
        <v>58</v>
      </c>
      <c r="B186" s="52" t="s">
        <v>5</v>
      </c>
      <c r="C186" s="52">
        <v>226</v>
      </c>
      <c r="D186" s="3">
        <f t="shared" si="6"/>
        <v>1104450</v>
      </c>
      <c r="E186" s="1">
        <f>E187+E188</f>
        <v>1104450</v>
      </c>
      <c r="F186" s="1">
        <f>F187+F188</f>
        <v>0</v>
      </c>
    </row>
    <row r="187" spans="1:6" ht="18" x14ac:dyDescent="0.3">
      <c r="A187" s="385" t="s">
        <v>6</v>
      </c>
      <c r="B187" s="52">
        <v>243</v>
      </c>
      <c r="C187" s="52">
        <v>226</v>
      </c>
      <c r="D187" s="3">
        <f t="shared" si="6"/>
        <v>0</v>
      </c>
      <c r="E187" s="1">
        <f>E55-E145</f>
        <v>0</v>
      </c>
      <c r="F187" s="1"/>
    </row>
    <row r="188" spans="1:6" ht="18" x14ac:dyDescent="0.3">
      <c r="A188" s="385"/>
      <c r="B188" s="52">
        <v>244</v>
      </c>
      <c r="C188" s="52">
        <v>226</v>
      </c>
      <c r="D188" s="3">
        <f t="shared" si="6"/>
        <v>1104450</v>
      </c>
      <c r="E188" s="1">
        <f>E56-E146</f>
        <v>1104450</v>
      </c>
      <c r="F188" s="1"/>
    </row>
    <row r="189" spans="1:6" ht="18" x14ac:dyDescent="0.3">
      <c r="A189" s="48" t="s">
        <v>25</v>
      </c>
      <c r="B189" s="52">
        <v>244</v>
      </c>
      <c r="C189" s="52">
        <v>227</v>
      </c>
      <c r="D189" s="3">
        <f t="shared" si="6"/>
        <v>0</v>
      </c>
      <c r="E189" s="1">
        <f>E57-E147</f>
        <v>0</v>
      </c>
      <c r="F189" s="1"/>
    </row>
    <row r="190" spans="1:6" ht="18" x14ac:dyDescent="0.3">
      <c r="A190" s="48" t="s">
        <v>30</v>
      </c>
      <c r="B190" s="52" t="s">
        <v>5</v>
      </c>
      <c r="C190" s="52">
        <v>290</v>
      </c>
      <c r="D190" s="3">
        <f t="shared" si="6"/>
        <v>0</v>
      </c>
      <c r="E190" s="1">
        <f>E192+E193</f>
        <v>0</v>
      </c>
      <c r="F190" s="1">
        <f>F192+F193</f>
        <v>0</v>
      </c>
    </row>
    <row r="191" spans="1:6" ht="18" x14ac:dyDescent="0.3">
      <c r="A191" s="48" t="s">
        <v>9</v>
      </c>
      <c r="B191" s="52"/>
      <c r="C191" s="52"/>
      <c r="D191" s="3">
        <f t="shared" si="6"/>
        <v>0</v>
      </c>
      <c r="E191" s="1"/>
      <c r="F191" s="1"/>
    </row>
    <row r="192" spans="1:6" ht="54" x14ac:dyDescent="0.3">
      <c r="A192" s="48" t="s">
        <v>34</v>
      </c>
      <c r="B192" s="52">
        <v>244</v>
      </c>
      <c r="C192" s="52">
        <v>296</v>
      </c>
      <c r="D192" s="3">
        <f t="shared" si="6"/>
        <v>0</v>
      </c>
      <c r="E192" s="1">
        <f>E76-E150</f>
        <v>0</v>
      </c>
      <c r="F192" s="1"/>
    </row>
    <row r="193" spans="1:6" ht="54" x14ac:dyDescent="0.3">
      <c r="A193" s="48" t="s">
        <v>35</v>
      </c>
      <c r="B193" s="52">
        <v>244</v>
      </c>
      <c r="C193" s="52">
        <v>297</v>
      </c>
      <c r="D193" s="3">
        <f t="shared" si="6"/>
        <v>0</v>
      </c>
      <c r="E193" s="1">
        <f>E83-E151</f>
        <v>0</v>
      </c>
      <c r="F193" s="1"/>
    </row>
    <row r="194" spans="1:6" ht="54" x14ac:dyDescent="0.3">
      <c r="A194" s="48" t="s">
        <v>59</v>
      </c>
      <c r="B194" s="52" t="s">
        <v>5</v>
      </c>
      <c r="C194" s="52">
        <v>300</v>
      </c>
      <c r="D194" s="3">
        <f t="shared" si="6"/>
        <v>3530870.2</v>
      </c>
      <c r="E194" s="1">
        <f>E196+E198+E197</f>
        <v>3530870.2</v>
      </c>
      <c r="F194" s="1">
        <f>F196+F198+F197</f>
        <v>0</v>
      </c>
    </row>
    <row r="195" spans="1:6" ht="18" x14ac:dyDescent="0.3">
      <c r="A195" s="48" t="s">
        <v>9</v>
      </c>
      <c r="B195" s="52"/>
      <c r="C195" s="52"/>
      <c r="D195" s="3"/>
      <c r="E195" s="1"/>
      <c r="F195" s="1"/>
    </row>
    <row r="196" spans="1:6" ht="54" x14ac:dyDescent="0.3">
      <c r="A196" s="48" t="s">
        <v>36</v>
      </c>
      <c r="B196" s="52">
        <v>244</v>
      </c>
      <c r="C196" s="52">
        <v>310</v>
      </c>
      <c r="D196" s="3">
        <f>E196+F196</f>
        <v>3424860.2</v>
      </c>
      <c r="E196" s="1">
        <f>E89-E154</f>
        <v>3424860.2</v>
      </c>
      <c r="F196" s="1"/>
    </row>
    <row r="197" spans="1:6" ht="72" x14ac:dyDescent="0.3">
      <c r="A197" s="48" t="s">
        <v>68</v>
      </c>
      <c r="B197" s="52">
        <v>244</v>
      </c>
      <c r="C197" s="52">
        <v>320</v>
      </c>
      <c r="D197" s="3">
        <f>E197+F197</f>
        <v>0</v>
      </c>
      <c r="E197" s="1">
        <f>E90-E155</f>
        <v>0</v>
      </c>
      <c r="F197" s="1"/>
    </row>
    <row r="198" spans="1:6" ht="72" x14ac:dyDescent="0.3">
      <c r="A198" s="48" t="s">
        <v>60</v>
      </c>
      <c r="B198" s="52" t="s">
        <v>5</v>
      </c>
      <c r="C198" s="52">
        <v>340</v>
      </c>
      <c r="D198" s="3">
        <f>E198+F198</f>
        <v>106010</v>
      </c>
      <c r="E198" s="1">
        <f>E200+E201+E202+E203+E204+E205+E206</f>
        <v>106010</v>
      </c>
      <c r="F198" s="1">
        <f>F200+F201+F202+F203+F204+F205+F206</f>
        <v>0</v>
      </c>
    </row>
    <row r="199" spans="1:6" ht="18" x14ac:dyDescent="0.3">
      <c r="A199" s="48" t="s">
        <v>6</v>
      </c>
      <c r="B199" s="52"/>
      <c r="C199" s="52"/>
      <c r="D199" s="3"/>
      <c r="E199" s="1"/>
      <c r="F199" s="1"/>
    </row>
    <row r="200" spans="1:6" ht="126" x14ac:dyDescent="0.3">
      <c r="A200" s="48" t="s">
        <v>37</v>
      </c>
      <c r="B200" s="52">
        <v>244</v>
      </c>
      <c r="C200" s="52">
        <v>341</v>
      </c>
      <c r="D200" s="3">
        <f t="shared" ref="D200:D206" si="7">E200+F200</f>
        <v>0</v>
      </c>
      <c r="E200" s="1">
        <f t="shared" ref="E200:E205" si="8">E93-E158</f>
        <v>0</v>
      </c>
      <c r="F200" s="1"/>
    </row>
    <row r="201" spans="1:6" ht="54" x14ac:dyDescent="0.3">
      <c r="A201" s="48" t="s">
        <v>38</v>
      </c>
      <c r="B201" s="52">
        <v>244</v>
      </c>
      <c r="C201" s="52">
        <v>342</v>
      </c>
      <c r="D201" s="3">
        <f t="shared" si="7"/>
        <v>0</v>
      </c>
      <c r="E201" s="1">
        <f t="shared" si="8"/>
        <v>0</v>
      </c>
      <c r="F201" s="1"/>
    </row>
    <row r="202" spans="1:6" ht="72" x14ac:dyDescent="0.3">
      <c r="A202" s="48" t="s">
        <v>39</v>
      </c>
      <c r="B202" s="52">
        <v>244</v>
      </c>
      <c r="C202" s="52">
        <v>343</v>
      </c>
      <c r="D202" s="3">
        <f t="shared" si="7"/>
        <v>0</v>
      </c>
      <c r="E202" s="1">
        <f t="shared" si="8"/>
        <v>0</v>
      </c>
      <c r="F202" s="1"/>
    </row>
    <row r="203" spans="1:6" ht="72" x14ac:dyDescent="0.3">
      <c r="A203" s="48" t="s">
        <v>40</v>
      </c>
      <c r="B203" s="52">
        <v>244</v>
      </c>
      <c r="C203" s="52">
        <v>344</v>
      </c>
      <c r="D203" s="3">
        <f t="shared" si="7"/>
        <v>0</v>
      </c>
      <c r="E203" s="1">
        <f t="shared" si="8"/>
        <v>0</v>
      </c>
      <c r="F203" s="1"/>
    </row>
    <row r="204" spans="1:6" ht="54" x14ac:dyDescent="0.3">
      <c r="A204" s="48" t="s">
        <v>41</v>
      </c>
      <c r="B204" s="52">
        <v>244</v>
      </c>
      <c r="C204" s="52">
        <v>345</v>
      </c>
      <c r="D204" s="3">
        <f t="shared" si="7"/>
        <v>0</v>
      </c>
      <c r="E204" s="1">
        <f t="shared" si="8"/>
        <v>0</v>
      </c>
      <c r="F204" s="1"/>
    </row>
    <row r="205" spans="1:6" ht="72" x14ac:dyDescent="0.3">
      <c r="A205" s="48" t="s">
        <v>42</v>
      </c>
      <c r="B205" s="52">
        <v>244</v>
      </c>
      <c r="C205" s="52">
        <v>346</v>
      </c>
      <c r="D205" s="3">
        <f t="shared" si="7"/>
        <v>106010</v>
      </c>
      <c r="E205" s="1">
        <f t="shared" si="8"/>
        <v>106010</v>
      </c>
      <c r="F205" s="1"/>
    </row>
    <row r="206" spans="1:6" ht="108" x14ac:dyDescent="0.3">
      <c r="A206" s="48" t="s">
        <v>43</v>
      </c>
      <c r="B206" s="52">
        <v>244</v>
      </c>
      <c r="C206" s="52">
        <v>349</v>
      </c>
      <c r="D206" s="3">
        <f t="shared" si="7"/>
        <v>0</v>
      </c>
      <c r="E206" s="1">
        <f>E100-E164</f>
        <v>0</v>
      </c>
      <c r="F206" s="1"/>
    </row>
  </sheetData>
  <mergeCells count="31">
    <mergeCell ref="E114:F114"/>
    <mergeCell ref="E115:F115"/>
    <mergeCell ref="A117:B117"/>
    <mergeCell ref="E112:F112"/>
    <mergeCell ref="A184:A185"/>
    <mergeCell ref="A187:A188"/>
    <mergeCell ref="A119:F119"/>
    <mergeCell ref="A123:F123"/>
    <mergeCell ref="A142:A143"/>
    <mergeCell ref="A145:A146"/>
    <mergeCell ref="A165:F165"/>
    <mergeCell ref="A29:A30"/>
    <mergeCell ref="A35:A36"/>
    <mergeCell ref="A49:A50"/>
    <mergeCell ref="A52:A56"/>
    <mergeCell ref="A62:A64"/>
    <mergeCell ref="A69:A71"/>
    <mergeCell ref="A76:A81"/>
    <mergeCell ref="A83:A86"/>
    <mergeCell ref="E108:F108"/>
    <mergeCell ref="E111:F111"/>
    <mergeCell ref="E109:F109"/>
    <mergeCell ref="A108:B108"/>
    <mergeCell ref="A111:B111"/>
    <mergeCell ref="A1:F1"/>
    <mergeCell ref="A2:F2"/>
    <mergeCell ref="A5:A6"/>
    <mergeCell ref="B5:B6"/>
    <mergeCell ref="C5:C6"/>
    <mergeCell ref="D5:D6"/>
    <mergeCell ref="E5:F5"/>
  </mergeCells>
  <pageMargins left="1.3779527559055118" right="0.39370078740157483" top="0.98425196850393704" bottom="0.78740157480314965" header="0.31496062992125984" footer="0.31496062992125984"/>
  <pageSetup paperSize="9" scale="7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3"/>
  <sheetViews>
    <sheetView showWhiteSpace="0" view="pageLayout" topLeftCell="A7" zoomScaleNormal="100" workbookViewId="0">
      <selection activeCell="A12" sqref="A12:F12"/>
    </sheetView>
  </sheetViews>
  <sheetFormatPr defaultColWidth="8.88671875" defaultRowHeight="14.4" x14ac:dyDescent="0.3"/>
  <cols>
    <col min="1" max="1" width="24.6640625" style="5" customWidth="1"/>
    <col min="2" max="2" width="15.33203125" style="5" customWidth="1"/>
    <col min="3" max="3" width="14" style="5" customWidth="1"/>
    <col min="4" max="6" width="18.5546875" style="5" customWidth="1"/>
    <col min="7" max="16384" width="8.88671875" style="5"/>
  </cols>
  <sheetData>
    <row r="1" spans="1:6" ht="17.399999999999999" x14ac:dyDescent="0.3">
      <c r="A1" s="384" t="s">
        <v>257</v>
      </c>
      <c r="B1" s="384"/>
      <c r="C1" s="384"/>
      <c r="D1" s="384"/>
      <c r="E1" s="384"/>
      <c r="F1" s="384"/>
    </row>
    <row r="2" spans="1:6" ht="17.399999999999999" x14ac:dyDescent="0.3">
      <c r="A2" s="384" t="s">
        <v>486</v>
      </c>
      <c r="B2" s="384"/>
      <c r="C2" s="384"/>
      <c r="D2" s="384"/>
      <c r="E2" s="384"/>
      <c r="F2" s="384"/>
    </row>
    <row r="3" spans="1:6" ht="15" x14ac:dyDescent="0.3">
      <c r="A3" s="28"/>
    </row>
    <row r="4" spans="1:6" ht="18.600000000000001" thickBot="1" x14ac:dyDescent="0.35">
      <c r="A4" s="4"/>
      <c r="F4" s="4" t="s">
        <v>51</v>
      </c>
    </row>
    <row r="5" spans="1:6" ht="52.95" customHeight="1" x14ac:dyDescent="0.3">
      <c r="A5" s="389" t="s">
        <v>0</v>
      </c>
      <c r="B5" s="382" t="s">
        <v>45</v>
      </c>
      <c r="C5" s="391" t="s">
        <v>46</v>
      </c>
      <c r="D5" s="382" t="s">
        <v>1</v>
      </c>
      <c r="E5" s="382" t="s">
        <v>196</v>
      </c>
      <c r="F5" s="531"/>
    </row>
    <row r="6" spans="1:6" ht="15.6" x14ac:dyDescent="0.3">
      <c r="A6" s="532"/>
      <c r="B6" s="533"/>
      <c r="C6" s="534"/>
      <c r="D6" s="533"/>
      <c r="E6" s="535" t="s">
        <v>6</v>
      </c>
      <c r="F6" s="536"/>
    </row>
    <row r="7" spans="1:6" ht="203.4" thickBot="1" x14ac:dyDescent="0.35">
      <c r="A7" s="390"/>
      <c r="B7" s="383"/>
      <c r="C7" s="392"/>
      <c r="D7" s="383"/>
      <c r="E7" s="105" t="s">
        <v>197</v>
      </c>
      <c r="F7" s="35" t="s">
        <v>198</v>
      </c>
    </row>
    <row r="8" spans="1:6" ht="15" thickBot="1" x14ac:dyDescent="0.35">
      <c r="A8" s="40">
        <v>1</v>
      </c>
      <c r="B8" s="41">
        <v>2</v>
      </c>
      <c r="C8" s="41">
        <v>3</v>
      </c>
      <c r="D8" s="41">
        <v>4</v>
      </c>
      <c r="E8" s="41">
        <v>5</v>
      </c>
      <c r="F8" s="42">
        <v>6</v>
      </c>
    </row>
    <row r="9" spans="1:6" ht="18" x14ac:dyDescent="0.3">
      <c r="A9" s="103" t="s">
        <v>183</v>
      </c>
      <c r="B9" s="107" t="s">
        <v>5</v>
      </c>
      <c r="C9" s="107" t="s">
        <v>5</v>
      </c>
      <c r="D9" s="3">
        <f>E9+F9</f>
        <v>4635320.2</v>
      </c>
      <c r="E9" s="1">
        <v>4635320.2</v>
      </c>
      <c r="F9" s="2"/>
    </row>
    <row r="10" spans="1:6" ht="18" x14ac:dyDescent="0.3">
      <c r="A10" s="103" t="s">
        <v>7</v>
      </c>
      <c r="B10" s="107" t="s">
        <v>5</v>
      </c>
      <c r="C10" s="107">
        <v>900</v>
      </c>
      <c r="D10" s="3">
        <f>E10+F10</f>
        <v>4635320.2</v>
      </c>
      <c r="E10" s="1">
        <f>E13+E45+E60+E89</f>
        <v>4635320.2</v>
      </c>
      <c r="F10" s="2">
        <f>F13+F45+F60+F89</f>
        <v>0</v>
      </c>
    </row>
    <row r="11" spans="1:6" ht="18" x14ac:dyDescent="0.3">
      <c r="A11" s="103" t="s">
        <v>6</v>
      </c>
      <c r="B11" s="107"/>
      <c r="C11" s="107"/>
      <c r="D11" s="3"/>
      <c r="E11" s="1"/>
      <c r="F11" s="2"/>
    </row>
    <row r="12" spans="1:6" ht="33.6" customHeight="1" x14ac:dyDescent="0.3">
      <c r="A12" s="537" t="s">
        <v>199</v>
      </c>
      <c r="B12" s="538"/>
      <c r="C12" s="538"/>
      <c r="D12" s="538"/>
      <c r="E12" s="538"/>
      <c r="F12" s="539"/>
    </row>
    <row r="13" spans="1:6" ht="18" x14ac:dyDescent="0.3">
      <c r="A13" s="103" t="s">
        <v>8</v>
      </c>
      <c r="B13" s="107" t="s">
        <v>5</v>
      </c>
      <c r="C13" s="107">
        <v>200</v>
      </c>
      <c r="D13" s="3">
        <f t="shared" ref="D13:D49" si="0">E13+F13</f>
        <v>0</v>
      </c>
      <c r="E13" s="1">
        <f>E15+E18+E41</f>
        <v>0</v>
      </c>
      <c r="F13" s="2">
        <f>F15+F18+F41</f>
        <v>0</v>
      </c>
    </row>
    <row r="14" spans="1:6" ht="14.4" customHeight="1" x14ac:dyDescent="0.3">
      <c r="A14" s="103" t="s">
        <v>9</v>
      </c>
      <c r="B14" s="107"/>
      <c r="C14" s="107"/>
      <c r="D14" s="3"/>
      <c r="E14" s="1"/>
      <c r="F14" s="2"/>
    </row>
    <row r="15" spans="1:6" ht="72" x14ac:dyDescent="0.3">
      <c r="A15" s="103" t="s">
        <v>10</v>
      </c>
      <c r="B15" s="107" t="s">
        <v>5</v>
      </c>
      <c r="C15" s="107">
        <v>210</v>
      </c>
      <c r="D15" s="3">
        <f t="shared" si="0"/>
        <v>0</v>
      </c>
      <c r="E15" s="1">
        <f>E17</f>
        <v>0</v>
      </c>
      <c r="F15" s="2">
        <f>F17</f>
        <v>0</v>
      </c>
    </row>
    <row r="16" spans="1:6" ht="18" x14ac:dyDescent="0.3">
      <c r="A16" s="103" t="s">
        <v>9</v>
      </c>
      <c r="B16" s="107"/>
      <c r="C16" s="107"/>
      <c r="D16" s="3"/>
      <c r="E16" s="1"/>
      <c r="F16" s="2"/>
    </row>
    <row r="17" spans="1:6" ht="72" x14ac:dyDescent="0.3">
      <c r="A17" s="103" t="s">
        <v>200</v>
      </c>
      <c r="B17" s="107">
        <v>244</v>
      </c>
      <c r="C17" s="107">
        <v>214</v>
      </c>
      <c r="D17" s="3">
        <f>E17+F17</f>
        <v>0</v>
      </c>
      <c r="E17" s="1">
        <f>'иные субсидии 2022 год '!E128</f>
        <v>0</v>
      </c>
      <c r="F17" s="2"/>
    </row>
    <row r="18" spans="1:6" ht="36" x14ac:dyDescent="0.3">
      <c r="A18" s="103" t="s">
        <v>14</v>
      </c>
      <c r="B18" s="107" t="s">
        <v>5</v>
      </c>
      <c r="C18" s="107">
        <v>220</v>
      </c>
      <c r="D18" s="3">
        <f t="shared" si="0"/>
        <v>0</v>
      </c>
      <c r="E18" s="1">
        <f>E20+E21+E22+E32+E33+E36+E39</f>
        <v>0</v>
      </c>
      <c r="F18" s="2">
        <f>F20+F21+F22+F32+F33+F36+F39</f>
        <v>0</v>
      </c>
    </row>
    <row r="19" spans="1:6" ht="18" x14ac:dyDescent="0.3">
      <c r="A19" s="103" t="s">
        <v>9</v>
      </c>
      <c r="B19" s="107"/>
      <c r="C19" s="107"/>
      <c r="D19" s="3"/>
      <c r="E19" s="1"/>
      <c r="F19" s="2"/>
    </row>
    <row r="20" spans="1:6" ht="18" x14ac:dyDescent="0.3">
      <c r="A20" s="103" t="s">
        <v>15</v>
      </c>
      <c r="B20" s="107">
        <v>244</v>
      </c>
      <c r="C20" s="107">
        <v>221</v>
      </c>
      <c r="D20" s="3">
        <f t="shared" si="0"/>
        <v>0</v>
      </c>
      <c r="E20" s="1">
        <f>'иные субсидии 2022 год '!E131</f>
        <v>0</v>
      </c>
      <c r="F20" s="2"/>
    </row>
    <row r="21" spans="1:6" ht="36" x14ac:dyDescent="0.3">
      <c r="A21" s="103" t="s">
        <v>16</v>
      </c>
      <c r="B21" s="107">
        <v>244</v>
      </c>
      <c r="C21" s="107">
        <v>222</v>
      </c>
      <c r="D21" s="3">
        <f t="shared" si="0"/>
        <v>0</v>
      </c>
      <c r="E21" s="1">
        <f>'иные субсидии 2022 год '!E132</f>
        <v>0</v>
      </c>
      <c r="F21" s="2"/>
    </row>
    <row r="22" spans="1:6" ht="36" x14ac:dyDescent="0.3">
      <c r="A22" s="103" t="s">
        <v>17</v>
      </c>
      <c r="B22" s="107" t="s">
        <v>5</v>
      </c>
      <c r="C22" s="107">
        <v>223</v>
      </c>
      <c r="D22" s="3">
        <f t="shared" si="0"/>
        <v>0</v>
      </c>
      <c r="E22" s="1">
        <f>E27+E28+E29+E30+E31</f>
        <v>0</v>
      </c>
      <c r="F22" s="2">
        <f>F27+F28+F29+F30+F31</f>
        <v>0</v>
      </c>
    </row>
    <row r="23" spans="1:6" ht="18" x14ac:dyDescent="0.3">
      <c r="A23" s="103" t="s">
        <v>6</v>
      </c>
      <c r="B23" s="107"/>
      <c r="C23" s="107"/>
      <c r="D23" s="3"/>
      <c r="E23" s="1"/>
      <c r="F23" s="2"/>
    </row>
    <row r="24" spans="1:6" ht="54" x14ac:dyDescent="0.3">
      <c r="A24" s="261" t="s">
        <v>18</v>
      </c>
      <c r="B24" s="262">
        <v>244</v>
      </c>
      <c r="C24" s="262">
        <v>223</v>
      </c>
      <c r="D24" s="3"/>
      <c r="E24" s="1"/>
      <c r="F24" s="2"/>
    </row>
    <row r="25" spans="1:6" ht="36" x14ac:dyDescent="0.3">
      <c r="A25" s="319" t="s">
        <v>19</v>
      </c>
      <c r="B25" s="320">
        <v>244</v>
      </c>
      <c r="C25" s="320">
        <v>223</v>
      </c>
      <c r="D25" s="3"/>
      <c r="E25" s="1"/>
      <c r="F25" s="2"/>
    </row>
    <row r="26" spans="1:6" ht="54" x14ac:dyDescent="0.3">
      <c r="A26" s="319" t="s">
        <v>20</v>
      </c>
      <c r="B26" s="320">
        <v>244</v>
      </c>
      <c r="C26" s="320">
        <v>223</v>
      </c>
      <c r="D26" s="331"/>
      <c r="E26" s="1"/>
      <c r="F26" s="2"/>
    </row>
    <row r="27" spans="1:6" ht="54" x14ac:dyDescent="0.3">
      <c r="A27" s="36" t="s">
        <v>18</v>
      </c>
      <c r="B27" s="322">
        <v>247</v>
      </c>
      <c r="C27" s="322">
        <v>223</v>
      </c>
      <c r="D27" s="3">
        <f t="shared" si="0"/>
        <v>0</v>
      </c>
      <c r="E27" s="1">
        <f>'иные субсидии 2022 год '!E135</f>
        <v>0</v>
      </c>
      <c r="F27" s="2"/>
    </row>
    <row r="28" spans="1:6" ht="36" x14ac:dyDescent="0.3">
      <c r="A28" s="103" t="s">
        <v>19</v>
      </c>
      <c r="B28" s="107">
        <v>247</v>
      </c>
      <c r="C28" s="107">
        <v>223</v>
      </c>
      <c r="D28" s="3">
        <f t="shared" si="0"/>
        <v>0</v>
      </c>
      <c r="E28" s="1">
        <f>'иные субсидии 2022 год '!E136</f>
        <v>0</v>
      </c>
      <c r="F28" s="2"/>
    </row>
    <row r="29" spans="1:6" ht="55.95" customHeight="1" x14ac:dyDescent="0.3">
      <c r="A29" s="103" t="s">
        <v>20</v>
      </c>
      <c r="B29" s="107">
        <v>247</v>
      </c>
      <c r="C29" s="107">
        <v>223</v>
      </c>
      <c r="D29" s="3">
        <f t="shared" si="0"/>
        <v>0</v>
      </c>
      <c r="E29" s="1">
        <f>'иные субсидии 2022 год '!E137</f>
        <v>0</v>
      </c>
      <c r="F29" s="2"/>
    </row>
    <row r="30" spans="1:6" ht="72" x14ac:dyDescent="0.3">
      <c r="A30" s="103" t="s">
        <v>21</v>
      </c>
      <c r="B30" s="107">
        <v>244</v>
      </c>
      <c r="C30" s="107">
        <v>223</v>
      </c>
      <c r="D30" s="3">
        <f t="shared" si="0"/>
        <v>0</v>
      </c>
      <c r="E30" s="1">
        <f>'иные субсидии 2022 год '!E138</f>
        <v>0</v>
      </c>
      <c r="F30" s="2"/>
    </row>
    <row r="31" spans="1:6" ht="54" x14ac:dyDescent="0.3">
      <c r="A31" s="103" t="s">
        <v>22</v>
      </c>
      <c r="B31" s="107">
        <v>244</v>
      </c>
      <c r="C31" s="107">
        <v>223</v>
      </c>
      <c r="D31" s="3">
        <f t="shared" si="0"/>
        <v>0</v>
      </c>
      <c r="E31" s="1">
        <f>'иные субсидии 2022 год '!E139</f>
        <v>0</v>
      </c>
      <c r="F31" s="2"/>
    </row>
    <row r="32" spans="1:6" ht="128.4" customHeight="1" x14ac:dyDescent="0.3">
      <c r="A32" s="103" t="s">
        <v>23</v>
      </c>
      <c r="B32" s="107">
        <v>244</v>
      </c>
      <c r="C32" s="107">
        <v>224</v>
      </c>
      <c r="D32" s="3">
        <f t="shared" si="0"/>
        <v>0</v>
      </c>
      <c r="E32" s="1">
        <f>'иные субсидии 2022 год '!E140</f>
        <v>0</v>
      </c>
      <c r="F32" s="2"/>
    </row>
    <row r="33" spans="1:6" ht="54" x14ac:dyDescent="0.3">
      <c r="A33" s="103" t="s">
        <v>24</v>
      </c>
      <c r="B33" s="107" t="s">
        <v>5</v>
      </c>
      <c r="C33" s="107">
        <v>225</v>
      </c>
      <c r="D33" s="1">
        <f>D34+D35</f>
        <v>0</v>
      </c>
      <c r="E33" s="1">
        <f>E34+E35</f>
        <v>0</v>
      </c>
      <c r="F33" s="2">
        <f>F34+F35</f>
        <v>0</v>
      </c>
    </row>
    <row r="34" spans="1:6" ht="18" x14ac:dyDescent="0.3">
      <c r="A34" s="385" t="s">
        <v>6</v>
      </c>
      <c r="B34" s="107">
        <v>243</v>
      </c>
      <c r="C34" s="107">
        <v>225</v>
      </c>
      <c r="D34" s="3">
        <f t="shared" si="0"/>
        <v>0</v>
      </c>
      <c r="E34" s="1">
        <f>'иные субсидии 2022 год '!E142</f>
        <v>0</v>
      </c>
      <c r="F34" s="2"/>
    </row>
    <row r="35" spans="1:6" ht="18" x14ac:dyDescent="0.3">
      <c r="A35" s="385"/>
      <c r="B35" s="107">
        <v>244</v>
      </c>
      <c r="C35" s="107">
        <v>225</v>
      </c>
      <c r="D35" s="3">
        <f t="shared" si="0"/>
        <v>0</v>
      </c>
      <c r="E35" s="1">
        <f>'иные субсидии 2022 год '!E143</f>
        <v>0</v>
      </c>
      <c r="F35" s="2"/>
    </row>
    <row r="36" spans="1:6" ht="36" x14ac:dyDescent="0.3">
      <c r="A36" s="103" t="s">
        <v>58</v>
      </c>
      <c r="B36" s="107" t="s">
        <v>5</v>
      </c>
      <c r="C36" s="107">
        <v>226</v>
      </c>
      <c r="D36" s="3">
        <f t="shared" si="0"/>
        <v>0</v>
      </c>
      <c r="E36" s="1">
        <f>E37+E38</f>
        <v>0</v>
      </c>
      <c r="F36" s="2">
        <f>F37+F38</f>
        <v>0</v>
      </c>
    </row>
    <row r="37" spans="1:6" ht="18" x14ac:dyDescent="0.3">
      <c r="A37" s="385" t="s">
        <v>6</v>
      </c>
      <c r="B37" s="107">
        <v>243</v>
      </c>
      <c r="C37" s="107">
        <v>226</v>
      </c>
      <c r="D37" s="3">
        <f t="shared" si="0"/>
        <v>0</v>
      </c>
      <c r="E37" s="1">
        <f>'иные субсидии 2022 год '!E145</f>
        <v>0</v>
      </c>
      <c r="F37" s="2"/>
    </row>
    <row r="38" spans="1:6" ht="18" x14ac:dyDescent="0.3">
      <c r="A38" s="385"/>
      <c r="B38" s="107">
        <v>244</v>
      </c>
      <c r="C38" s="107">
        <v>226</v>
      </c>
      <c r="D38" s="3">
        <f t="shared" si="0"/>
        <v>0</v>
      </c>
      <c r="E38" s="1">
        <f>'иные субсидии 2022 год '!E146</f>
        <v>0</v>
      </c>
      <c r="F38" s="2"/>
    </row>
    <row r="39" spans="1:6" ht="18" x14ac:dyDescent="0.3">
      <c r="A39" s="103" t="s">
        <v>25</v>
      </c>
      <c r="B39" s="107">
        <v>244</v>
      </c>
      <c r="C39" s="107">
        <v>227</v>
      </c>
      <c r="D39" s="3">
        <f t="shared" si="0"/>
        <v>0</v>
      </c>
      <c r="E39" s="1">
        <f>'иные субсидии 2022 год '!E147</f>
        <v>0</v>
      </c>
      <c r="F39" s="2"/>
    </row>
    <row r="40" spans="1:6" ht="54" x14ac:dyDescent="0.3">
      <c r="A40" s="261" t="s">
        <v>445</v>
      </c>
      <c r="B40" s="262">
        <v>244</v>
      </c>
      <c r="C40" s="262">
        <v>228</v>
      </c>
      <c r="D40" s="3">
        <v>0</v>
      </c>
      <c r="E40" s="1">
        <v>0</v>
      </c>
      <c r="F40" s="2"/>
    </row>
    <row r="41" spans="1:6" ht="18" x14ac:dyDescent="0.3">
      <c r="A41" s="103" t="s">
        <v>30</v>
      </c>
      <c r="B41" s="107" t="s">
        <v>5</v>
      </c>
      <c r="C41" s="107">
        <v>290</v>
      </c>
      <c r="D41" s="3">
        <f t="shared" si="0"/>
        <v>0</v>
      </c>
      <c r="E41" s="1">
        <f>E43+E44</f>
        <v>0</v>
      </c>
      <c r="F41" s="2">
        <f>F43+F44</f>
        <v>0</v>
      </c>
    </row>
    <row r="42" spans="1:6" ht="18" x14ac:dyDescent="0.3">
      <c r="A42" s="103" t="s">
        <v>9</v>
      </c>
      <c r="B42" s="107"/>
      <c r="C42" s="107"/>
      <c r="D42" s="3">
        <f t="shared" si="0"/>
        <v>0</v>
      </c>
      <c r="E42" s="1"/>
      <c r="F42" s="2"/>
    </row>
    <row r="43" spans="1:6" ht="54" x14ac:dyDescent="0.3">
      <c r="A43" s="103" t="s">
        <v>34</v>
      </c>
      <c r="B43" s="107">
        <v>244</v>
      </c>
      <c r="C43" s="107">
        <v>296</v>
      </c>
      <c r="D43" s="3">
        <f t="shared" si="0"/>
        <v>0</v>
      </c>
      <c r="E43" s="1">
        <f>'иные субсидии 2022 год '!E150</f>
        <v>0</v>
      </c>
      <c r="F43" s="2"/>
    </row>
    <row r="44" spans="1:6" ht="54" x14ac:dyDescent="0.3">
      <c r="A44" s="103" t="s">
        <v>35</v>
      </c>
      <c r="B44" s="107">
        <v>244</v>
      </c>
      <c r="C44" s="107">
        <v>297</v>
      </c>
      <c r="D44" s="3">
        <f t="shared" si="0"/>
        <v>0</v>
      </c>
      <c r="E44" s="1">
        <f>'иные субсидии 2022 год '!E151</f>
        <v>0</v>
      </c>
      <c r="F44" s="2"/>
    </row>
    <row r="45" spans="1:6" ht="54" x14ac:dyDescent="0.3">
      <c r="A45" s="103" t="s">
        <v>59</v>
      </c>
      <c r="B45" s="107" t="s">
        <v>5</v>
      </c>
      <c r="C45" s="107">
        <v>300</v>
      </c>
      <c r="D45" s="3">
        <f t="shared" si="0"/>
        <v>0</v>
      </c>
      <c r="E45" s="1">
        <f>E47+E49+E48</f>
        <v>0</v>
      </c>
      <c r="F45" s="2">
        <f>F47+F49+F48</f>
        <v>0</v>
      </c>
    </row>
    <row r="46" spans="1:6" ht="18" x14ac:dyDescent="0.3">
      <c r="A46" s="103" t="s">
        <v>9</v>
      </c>
      <c r="B46" s="107"/>
      <c r="C46" s="107"/>
      <c r="D46" s="3"/>
      <c r="E46" s="1"/>
      <c r="F46" s="2"/>
    </row>
    <row r="47" spans="1:6" ht="14.4" customHeight="1" x14ac:dyDescent="0.3">
      <c r="A47" s="103" t="s">
        <v>36</v>
      </c>
      <c r="B47" s="107">
        <v>244</v>
      </c>
      <c r="C47" s="107">
        <v>310</v>
      </c>
      <c r="D47" s="3">
        <f t="shared" si="0"/>
        <v>0</v>
      </c>
      <c r="E47" s="1">
        <f>'иные субсидии 2022 год '!E154</f>
        <v>0</v>
      </c>
      <c r="F47" s="2"/>
    </row>
    <row r="48" spans="1:6" ht="72" x14ac:dyDescent="0.3">
      <c r="A48" s="103" t="s">
        <v>68</v>
      </c>
      <c r="B48" s="107">
        <v>244</v>
      </c>
      <c r="C48" s="107">
        <v>320</v>
      </c>
      <c r="D48" s="3">
        <f t="shared" si="0"/>
        <v>0</v>
      </c>
      <c r="E48" s="1">
        <f>'иные субсидии 2022 год '!E155</f>
        <v>0</v>
      </c>
      <c r="F48" s="2"/>
    </row>
    <row r="49" spans="1:6" ht="72" x14ac:dyDescent="0.3">
      <c r="A49" s="103" t="s">
        <v>60</v>
      </c>
      <c r="B49" s="107" t="s">
        <v>5</v>
      </c>
      <c r="C49" s="107">
        <v>340</v>
      </c>
      <c r="D49" s="3">
        <f t="shared" si="0"/>
        <v>0</v>
      </c>
      <c r="E49" s="1">
        <f>E51+E52+E53+E54+E55+E56+E58</f>
        <v>0</v>
      </c>
      <c r="F49" s="2">
        <f>F51+F52+F53+F54+F55+F56+F58</f>
        <v>0</v>
      </c>
    </row>
    <row r="50" spans="1:6" ht="18" x14ac:dyDescent="0.3">
      <c r="A50" s="103" t="s">
        <v>6</v>
      </c>
      <c r="B50" s="107"/>
      <c r="C50" s="107"/>
      <c r="D50" s="3"/>
      <c r="E50" s="1"/>
      <c r="F50" s="2"/>
    </row>
    <row r="51" spans="1:6" ht="126" x14ac:dyDescent="0.3">
      <c r="A51" s="103" t="s">
        <v>37</v>
      </c>
      <c r="B51" s="107">
        <v>244</v>
      </c>
      <c r="C51" s="107">
        <v>341</v>
      </c>
      <c r="D51" s="3">
        <f t="shared" ref="D51:D58" si="1">E51+F51</f>
        <v>0</v>
      </c>
      <c r="E51" s="1">
        <f>'иные субсидии 2022 год '!E158</f>
        <v>0</v>
      </c>
      <c r="F51" s="2"/>
    </row>
    <row r="52" spans="1:6" ht="54" x14ac:dyDescent="0.3">
      <c r="A52" s="103" t="s">
        <v>38</v>
      </c>
      <c r="B52" s="107">
        <v>244</v>
      </c>
      <c r="C52" s="107">
        <v>342</v>
      </c>
      <c r="D52" s="3">
        <f t="shared" si="1"/>
        <v>0</v>
      </c>
      <c r="E52" s="1">
        <f>'иные субсидии 2022 год '!E159</f>
        <v>0</v>
      </c>
      <c r="F52" s="2"/>
    </row>
    <row r="53" spans="1:6" ht="72" x14ac:dyDescent="0.3">
      <c r="A53" s="103" t="s">
        <v>39</v>
      </c>
      <c r="B53" s="107">
        <v>244</v>
      </c>
      <c r="C53" s="107">
        <v>343</v>
      </c>
      <c r="D53" s="3">
        <f t="shared" si="1"/>
        <v>0</v>
      </c>
      <c r="E53" s="1">
        <f>'иные субсидии 2022 год '!E160</f>
        <v>0</v>
      </c>
      <c r="F53" s="2"/>
    </row>
    <row r="54" spans="1:6" ht="72" x14ac:dyDescent="0.3">
      <c r="A54" s="103" t="s">
        <v>40</v>
      </c>
      <c r="B54" s="107">
        <v>244</v>
      </c>
      <c r="C54" s="107">
        <v>344</v>
      </c>
      <c r="D54" s="3">
        <f t="shared" si="1"/>
        <v>0</v>
      </c>
      <c r="E54" s="1">
        <f>'иные субсидии 2022 год '!E161</f>
        <v>0</v>
      </c>
      <c r="F54" s="2"/>
    </row>
    <row r="55" spans="1:6" ht="54" x14ac:dyDescent="0.3">
      <c r="A55" s="103" t="s">
        <v>41</v>
      </c>
      <c r="B55" s="107">
        <v>244</v>
      </c>
      <c r="C55" s="107">
        <v>345</v>
      </c>
      <c r="D55" s="3">
        <f t="shared" si="1"/>
        <v>0</v>
      </c>
      <c r="E55" s="1">
        <f>'иные субсидии 2022 год '!E162</f>
        <v>0</v>
      </c>
      <c r="F55" s="2"/>
    </row>
    <row r="56" spans="1:6" ht="72" x14ac:dyDescent="0.3">
      <c r="A56" s="103" t="s">
        <v>42</v>
      </c>
      <c r="B56" s="107">
        <v>244</v>
      </c>
      <c r="C56" s="107">
        <v>346</v>
      </c>
      <c r="D56" s="3">
        <f t="shared" si="1"/>
        <v>0</v>
      </c>
      <c r="E56" s="1">
        <f>'иные субсидии 2022 год '!E163</f>
        <v>0</v>
      </c>
      <c r="F56" s="2"/>
    </row>
    <row r="57" spans="1:6" ht="108" x14ac:dyDescent="0.3">
      <c r="A57" s="261" t="s">
        <v>446</v>
      </c>
      <c r="B57" s="262">
        <v>244</v>
      </c>
      <c r="C57" s="262">
        <v>347</v>
      </c>
      <c r="D57" s="3">
        <v>0</v>
      </c>
      <c r="E57" s="1">
        <v>0</v>
      </c>
      <c r="F57" s="2"/>
    </row>
    <row r="58" spans="1:6" ht="108" x14ac:dyDescent="0.3">
      <c r="A58" s="103" t="s">
        <v>43</v>
      </c>
      <c r="B58" s="107">
        <v>244</v>
      </c>
      <c r="C58" s="107">
        <v>349</v>
      </c>
      <c r="D58" s="3">
        <f t="shared" si="1"/>
        <v>0</v>
      </c>
      <c r="E58" s="1">
        <f>'иные субсидии 2022 год '!E164</f>
        <v>0</v>
      </c>
      <c r="F58" s="2"/>
    </row>
    <row r="59" spans="1:6" ht="32.4" customHeight="1" x14ac:dyDescent="0.3">
      <c r="A59" s="537" t="s">
        <v>201</v>
      </c>
      <c r="B59" s="538"/>
      <c r="C59" s="538"/>
      <c r="D59" s="538"/>
      <c r="E59" s="538"/>
      <c r="F59" s="539"/>
    </row>
    <row r="60" spans="1:6" ht="18" x14ac:dyDescent="0.3">
      <c r="A60" s="103" t="s">
        <v>8</v>
      </c>
      <c r="B60" s="107" t="s">
        <v>5</v>
      </c>
      <c r="C60" s="107">
        <v>200</v>
      </c>
      <c r="D60" s="3">
        <f>E60+F60</f>
        <v>1104450</v>
      </c>
      <c r="E60" s="1">
        <f>E62+E65+E85</f>
        <v>1104450</v>
      </c>
      <c r="F60" s="2">
        <f>F62+F65+F85</f>
        <v>0</v>
      </c>
    </row>
    <row r="61" spans="1:6" ht="18" x14ac:dyDescent="0.3">
      <c r="A61" s="103" t="s">
        <v>9</v>
      </c>
      <c r="B61" s="107"/>
      <c r="C61" s="107"/>
      <c r="D61" s="3"/>
      <c r="E61" s="1"/>
      <c r="F61" s="2"/>
    </row>
    <row r="62" spans="1:6" ht="72" x14ac:dyDescent="0.3">
      <c r="A62" s="103" t="s">
        <v>10</v>
      </c>
      <c r="B62" s="107" t="s">
        <v>5</v>
      </c>
      <c r="C62" s="107">
        <v>210</v>
      </c>
      <c r="D62" s="3">
        <f>E62+F62</f>
        <v>0</v>
      </c>
      <c r="E62" s="1">
        <f>E64</f>
        <v>0</v>
      </c>
      <c r="F62" s="2">
        <f>F64</f>
        <v>0</v>
      </c>
    </row>
    <row r="63" spans="1:6" ht="18" x14ac:dyDescent="0.3">
      <c r="A63" s="103" t="s">
        <v>9</v>
      </c>
      <c r="B63" s="107"/>
      <c r="C63" s="107"/>
      <c r="D63" s="3"/>
      <c r="E63" s="1"/>
      <c r="F63" s="2"/>
    </row>
    <row r="64" spans="1:6" ht="58.95" customHeight="1" x14ac:dyDescent="0.3">
      <c r="A64" s="103" t="s">
        <v>200</v>
      </c>
      <c r="B64" s="107">
        <v>244</v>
      </c>
      <c r="C64" s="107">
        <v>214</v>
      </c>
      <c r="D64" s="3">
        <f>E64+F64</f>
        <v>0</v>
      </c>
      <c r="E64" s="1">
        <f>'иные субсидии 2022 год '!E170</f>
        <v>0</v>
      </c>
      <c r="F64" s="2"/>
    </row>
    <row r="65" spans="1:6" ht="36" x14ac:dyDescent="0.3">
      <c r="A65" s="103" t="s">
        <v>14</v>
      </c>
      <c r="B65" s="107" t="s">
        <v>5</v>
      </c>
      <c r="C65" s="107">
        <v>220</v>
      </c>
      <c r="D65" s="3">
        <f>E65+F65</f>
        <v>1104450</v>
      </c>
      <c r="E65" s="1">
        <f>E67+E68+E69+E76+E77+E80+E83</f>
        <v>1104450</v>
      </c>
      <c r="F65" s="2">
        <f>F67+F68+F69+F76+F77+F80+F83</f>
        <v>0</v>
      </c>
    </row>
    <row r="66" spans="1:6" ht="18" x14ac:dyDescent="0.3">
      <c r="A66" s="103" t="s">
        <v>9</v>
      </c>
      <c r="B66" s="107"/>
      <c r="C66" s="107"/>
      <c r="D66" s="3"/>
      <c r="E66" s="1"/>
      <c r="F66" s="2"/>
    </row>
    <row r="67" spans="1:6" ht="18" x14ac:dyDescent="0.3">
      <c r="A67" s="103" t="s">
        <v>15</v>
      </c>
      <c r="B67" s="107">
        <v>244</v>
      </c>
      <c r="C67" s="107">
        <v>221</v>
      </c>
      <c r="D67" s="3">
        <f>E67+F67</f>
        <v>0</v>
      </c>
      <c r="E67" s="1">
        <f>'иные субсидии 2022 год '!E173</f>
        <v>0</v>
      </c>
      <c r="F67" s="2"/>
    </row>
    <row r="68" spans="1:6" ht="39.6" customHeight="1" x14ac:dyDescent="0.3">
      <c r="A68" s="103" t="s">
        <v>16</v>
      </c>
      <c r="B68" s="107">
        <v>244</v>
      </c>
      <c r="C68" s="107">
        <v>222</v>
      </c>
      <c r="D68" s="3">
        <f>E68+F68</f>
        <v>0</v>
      </c>
      <c r="E68" s="1">
        <f>'иные субсидии 2022 год '!E174</f>
        <v>0</v>
      </c>
      <c r="F68" s="2"/>
    </row>
    <row r="69" spans="1:6" ht="36" x14ac:dyDescent="0.3">
      <c r="A69" s="103" t="s">
        <v>17</v>
      </c>
      <c r="B69" s="107" t="s">
        <v>5</v>
      </c>
      <c r="C69" s="107">
        <v>223</v>
      </c>
      <c r="D69" s="3">
        <f>E69+F69</f>
        <v>0</v>
      </c>
      <c r="E69" s="1">
        <f>E71+E72+E73+E74+E75</f>
        <v>0</v>
      </c>
      <c r="F69" s="2">
        <f>F71+F72+F73+F74+F75</f>
        <v>0</v>
      </c>
    </row>
    <row r="70" spans="1:6" ht="18" x14ac:dyDescent="0.3">
      <c r="A70" s="103" t="s">
        <v>6</v>
      </c>
      <c r="B70" s="107"/>
      <c r="C70" s="107"/>
      <c r="D70" s="3"/>
      <c r="E70" s="1"/>
      <c r="F70" s="2"/>
    </row>
    <row r="71" spans="1:6" ht="55.95" customHeight="1" x14ac:dyDescent="0.3">
      <c r="A71" s="103" t="s">
        <v>18</v>
      </c>
      <c r="B71" s="107">
        <v>244</v>
      </c>
      <c r="C71" s="107">
        <v>223</v>
      </c>
      <c r="D71" s="3">
        <f t="shared" ref="D71:D76" si="2">E71+F71</f>
        <v>0</v>
      </c>
      <c r="E71" s="1">
        <f>'иные субсидии 2022 год '!E177</f>
        <v>0</v>
      </c>
      <c r="F71" s="2"/>
    </row>
    <row r="72" spans="1:6" ht="36" x14ac:dyDescent="0.3">
      <c r="A72" s="103" t="s">
        <v>19</v>
      </c>
      <c r="B72" s="107">
        <v>244</v>
      </c>
      <c r="C72" s="107">
        <v>223</v>
      </c>
      <c r="D72" s="3">
        <f t="shared" si="2"/>
        <v>0</v>
      </c>
      <c r="E72" s="1">
        <f>'иные субсидии 2022 год '!E178</f>
        <v>0</v>
      </c>
      <c r="F72" s="2"/>
    </row>
    <row r="73" spans="1:6" ht="54" x14ac:dyDescent="0.3">
      <c r="A73" s="103" t="s">
        <v>20</v>
      </c>
      <c r="B73" s="107">
        <v>244</v>
      </c>
      <c r="C73" s="107">
        <v>223</v>
      </c>
      <c r="D73" s="3">
        <f t="shared" si="2"/>
        <v>0</v>
      </c>
      <c r="E73" s="1">
        <f>'иные субсидии 2022 год '!E179</f>
        <v>0</v>
      </c>
      <c r="F73" s="2"/>
    </row>
    <row r="74" spans="1:6" ht="72" x14ac:dyDescent="0.3">
      <c r="A74" s="103" t="s">
        <v>21</v>
      </c>
      <c r="B74" s="107">
        <v>244</v>
      </c>
      <c r="C74" s="107">
        <v>223</v>
      </c>
      <c r="D74" s="3">
        <f t="shared" si="2"/>
        <v>0</v>
      </c>
      <c r="E74" s="1">
        <f>'иные субсидии 2022 год '!E180</f>
        <v>0</v>
      </c>
      <c r="F74" s="2"/>
    </row>
    <row r="75" spans="1:6" ht="54" x14ac:dyDescent="0.3">
      <c r="A75" s="103" t="s">
        <v>22</v>
      </c>
      <c r="B75" s="107">
        <v>244</v>
      </c>
      <c r="C75" s="107">
        <v>223</v>
      </c>
      <c r="D75" s="3">
        <f t="shared" si="2"/>
        <v>0</v>
      </c>
      <c r="E75" s="1">
        <f>'иные субсидии 2022 год '!E181</f>
        <v>0</v>
      </c>
      <c r="F75" s="2"/>
    </row>
    <row r="76" spans="1:6" ht="127.2" customHeight="1" x14ac:dyDescent="0.3">
      <c r="A76" s="103" t="s">
        <v>23</v>
      </c>
      <c r="B76" s="107">
        <v>244</v>
      </c>
      <c r="C76" s="107">
        <v>224</v>
      </c>
      <c r="D76" s="3">
        <f t="shared" si="2"/>
        <v>0</v>
      </c>
      <c r="E76" s="1">
        <f>'иные субсидии 2022 год '!E182</f>
        <v>0</v>
      </c>
      <c r="F76" s="2"/>
    </row>
    <row r="77" spans="1:6" ht="54" x14ac:dyDescent="0.3">
      <c r="A77" s="103" t="s">
        <v>24</v>
      </c>
      <c r="B77" s="107" t="s">
        <v>5</v>
      </c>
      <c r="C77" s="107">
        <v>225</v>
      </c>
      <c r="D77" s="1">
        <f>D78+D79</f>
        <v>0</v>
      </c>
      <c r="E77" s="1">
        <f>E78+E79</f>
        <v>0</v>
      </c>
      <c r="F77" s="2">
        <f>F78+F79</f>
        <v>0</v>
      </c>
    </row>
    <row r="78" spans="1:6" ht="18" x14ac:dyDescent="0.3">
      <c r="A78" s="385" t="s">
        <v>6</v>
      </c>
      <c r="B78" s="107">
        <v>243</v>
      </c>
      <c r="C78" s="107">
        <v>225</v>
      </c>
      <c r="D78" s="3">
        <f t="shared" ref="D78:D89" si="3">E78+F78</f>
        <v>0</v>
      </c>
      <c r="E78" s="1">
        <f>'иные субсидии 2022 год '!E184</f>
        <v>0</v>
      </c>
      <c r="F78" s="2"/>
    </row>
    <row r="79" spans="1:6" ht="18" x14ac:dyDescent="0.3">
      <c r="A79" s="385"/>
      <c r="B79" s="107">
        <v>244</v>
      </c>
      <c r="C79" s="107">
        <v>225</v>
      </c>
      <c r="D79" s="3">
        <f t="shared" si="3"/>
        <v>0</v>
      </c>
      <c r="E79" s="1">
        <f>'иные субсидии 2022 год '!E185</f>
        <v>0</v>
      </c>
      <c r="F79" s="2"/>
    </row>
    <row r="80" spans="1:6" ht="36" x14ac:dyDescent="0.3">
      <c r="A80" s="103" t="s">
        <v>58</v>
      </c>
      <c r="B80" s="107" t="s">
        <v>5</v>
      </c>
      <c r="C80" s="107">
        <v>226</v>
      </c>
      <c r="D80" s="3">
        <f t="shared" si="3"/>
        <v>1104450</v>
      </c>
      <c r="E80" s="1">
        <f>E81+E82</f>
        <v>1104450</v>
      </c>
      <c r="F80" s="2">
        <f>F81+F82</f>
        <v>0</v>
      </c>
    </row>
    <row r="81" spans="1:6" ht="18" x14ac:dyDescent="0.3">
      <c r="A81" s="385" t="s">
        <v>6</v>
      </c>
      <c r="B81" s="107">
        <v>243</v>
      </c>
      <c r="C81" s="107">
        <v>226</v>
      </c>
      <c r="D81" s="3">
        <f t="shared" si="3"/>
        <v>0</v>
      </c>
      <c r="E81" s="1">
        <f>'иные субсидии 2022 год '!E187</f>
        <v>0</v>
      </c>
      <c r="F81" s="2"/>
    </row>
    <row r="82" spans="1:6" ht="18" x14ac:dyDescent="0.3">
      <c r="A82" s="385"/>
      <c r="B82" s="107">
        <v>244</v>
      </c>
      <c r="C82" s="107">
        <v>226</v>
      </c>
      <c r="D82" s="3">
        <f t="shared" si="3"/>
        <v>1104450</v>
      </c>
      <c r="E82" s="1">
        <f>'иные субсидии 2022 год '!E188</f>
        <v>1104450</v>
      </c>
      <c r="F82" s="2"/>
    </row>
    <row r="83" spans="1:6" ht="18" x14ac:dyDescent="0.3">
      <c r="A83" s="103" t="s">
        <v>25</v>
      </c>
      <c r="B83" s="107">
        <v>244</v>
      </c>
      <c r="C83" s="107">
        <v>227</v>
      </c>
      <c r="D83" s="3">
        <f t="shared" si="3"/>
        <v>0</v>
      </c>
      <c r="E83" s="1">
        <f>'иные субсидии 2022 год '!E189</f>
        <v>0</v>
      </c>
      <c r="F83" s="2"/>
    </row>
    <row r="84" spans="1:6" ht="54" x14ac:dyDescent="0.3">
      <c r="A84" s="261" t="s">
        <v>445</v>
      </c>
      <c r="B84" s="262">
        <v>244</v>
      </c>
      <c r="C84" s="262">
        <v>228</v>
      </c>
      <c r="D84" s="3">
        <v>0</v>
      </c>
      <c r="E84" s="1">
        <v>0</v>
      </c>
      <c r="F84" s="2"/>
    </row>
    <row r="85" spans="1:6" ht="18" x14ac:dyDescent="0.3">
      <c r="A85" s="103" t="s">
        <v>30</v>
      </c>
      <c r="B85" s="107" t="s">
        <v>5</v>
      </c>
      <c r="C85" s="107">
        <v>290</v>
      </c>
      <c r="D85" s="3">
        <f t="shared" si="3"/>
        <v>0</v>
      </c>
      <c r="E85" s="1">
        <f>E87+E88</f>
        <v>0</v>
      </c>
      <c r="F85" s="2">
        <f>F87+F88</f>
        <v>0</v>
      </c>
    </row>
    <row r="86" spans="1:6" ht="18" x14ac:dyDescent="0.3">
      <c r="A86" s="103" t="s">
        <v>9</v>
      </c>
      <c r="B86" s="107"/>
      <c r="C86" s="107"/>
      <c r="D86" s="3">
        <f t="shared" si="3"/>
        <v>0</v>
      </c>
      <c r="E86" s="1"/>
      <c r="F86" s="2"/>
    </row>
    <row r="87" spans="1:6" ht="55.95" customHeight="1" x14ac:dyDescent="0.3">
      <c r="A87" s="103" t="s">
        <v>34</v>
      </c>
      <c r="B87" s="107">
        <v>244</v>
      </c>
      <c r="C87" s="107">
        <v>296</v>
      </c>
      <c r="D87" s="3">
        <f t="shared" si="3"/>
        <v>0</v>
      </c>
      <c r="E87" s="1">
        <f>'иные субсидии 2022 год '!E192</f>
        <v>0</v>
      </c>
      <c r="F87" s="2"/>
    </row>
    <row r="88" spans="1:6" ht="54" customHeight="1" x14ac:dyDescent="0.3">
      <c r="A88" s="103" t="s">
        <v>35</v>
      </c>
      <c r="B88" s="107">
        <v>244</v>
      </c>
      <c r="C88" s="107">
        <v>297</v>
      </c>
      <c r="D88" s="3">
        <f t="shared" si="3"/>
        <v>0</v>
      </c>
      <c r="E88" s="1">
        <f>'иные субсидии 2022 год '!E193</f>
        <v>0</v>
      </c>
      <c r="F88" s="2"/>
    </row>
    <row r="89" spans="1:6" ht="54" x14ac:dyDescent="0.3">
      <c r="A89" s="103" t="s">
        <v>59</v>
      </c>
      <c r="B89" s="107" t="s">
        <v>5</v>
      </c>
      <c r="C89" s="107">
        <v>300</v>
      </c>
      <c r="D89" s="3">
        <f t="shared" si="3"/>
        <v>3530870.2</v>
      </c>
      <c r="E89" s="1">
        <f>E91+E93+E92</f>
        <v>3530870.2</v>
      </c>
      <c r="F89" s="2">
        <f>F91+F93+F92</f>
        <v>0</v>
      </c>
    </row>
    <row r="90" spans="1:6" ht="18" x14ac:dyDescent="0.3">
      <c r="A90" s="103" t="s">
        <v>9</v>
      </c>
      <c r="B90" s="107"/>
      <c r="C90" s="107"/>
      <c r="D90" s="3"/>
      <c r="E90" s="1"/>
      <c r="F90" s="2"/>
    </row>
    <row r="91" spans="1:6" ht="54" x14ac:dyDescent="0.3">
      <c r="A91" s="103" t="s">
        <v>36</v>
      </c>
      <c r="B91" s="107">
        <v>244</v>
      </c>
      <c r="C91" s="107">
        <v>310</v>
      </c>
      <c r="D91" s="3">
        <f>E91+F91</f>
        <v>3424860.2</v>
      </c>
      <c r="E91" s="1">
        <f>'иные субсидии 2022 год '!E196</f>
        <v>3424860.2</v>
      </c>
      <c r="F91" s="2"/>
    </row>
    <row r="92" spans="1:6" ht="72" x14ac:dyDescent="0.3">
      <c r="A92" s="103" t="s">
        <v>68</v>
      </c>
      <c r="B92" s="107">
        <v>244</v>
      </c>
      <c r="C92" s="107">
        <v>320</v>
      </c>
      <c r="D92" s="3">
        <f>E92+F92</f>
        <v>0</v>
      </c>
      <c r="E92" s="1">
        <f>'иные субсидии 2022 год '!E197</f>
        <v>0</v>
      </c>
      <c r="F92" s="2"/>
    </row>
    <row r="93" spans="1:6" ht="72" x14ac:dyDescent="0.3">
      <c r="A93" s="103" t="s">
        <v>60</v>
      </c>
      <c r="B93" s="107" t="s">
        <v>5</v>
      </c>
      <c r="C93" s="107">
        <v>340</v>
      </c>
      <c r="D93" s="3">
        <f>E93+F93</f>
        <v>106010</v>
      </c>
      <c r="E93" s="1">
        <f>E95+E96+E97+E98+E99+E100+E102</f>
        <v>106010</v>
      </c>
      <c r="F93" s="2">
        <f>F95+F96+F97+F98+F99+F100+F102</f>
        <v>0</v>
      </c>
    </row>
    <row r="94" spans="1:6" ht="18" x14ac:dyDescent="0.3">
      <c r="A94" s="103" t="s">
        <v>6</v>
      </c>
      <c r="B94" s="107"/>
      <c r="C94" s="107"/>
      <c r="D94" s="3"/>
      <c r="E94" s="1"/>
      <c r="F94" s="2"/>
    </row>
    <row r="95" spans="1:6" ht="123" customHeight="1" x14ac:dyDescent="0.3">
      <c r="A95" s="103" t="s">
        <v>37</v>
      </c>
      <c r="B95" s="107">
        <v>244</v>
      </c>
      <c r="C95" s="107">
        <v>341</v>
      </c>
      <c r="D95" s="3">
        <f t="shared" ref="D95:D102" si="4">E95+F95</f>
        <v>0</v>
      </c>
      <c r="E95" s="1">
        <f>'иные субсидии 2022 год '!E200</f>
        <v>0</v>
      </c>
      <c r="F95" s="2"/>
    </row>
    <row r="96" spans="1:6" ht="57" customHeight="1" x14ac:dyDescent="0.3">
      <c r="A96" s="103" t="s">
        <v>38</v>
      </c>
      <c r="B96" s="107">
        <v>244</v>
      </c>
      <c r="C96" s="107">
        <v>342</v>
      </c>
      <c r="D96" s="3">
        <f t="shared" si="4"/>
        <v>0</v>
      </c>
      <c r="E96" s="1">
        <f>'иные субсидии 2022 год '!E201</f>
        <v>0</v>
      </c>
      <c r="F96" s="2"/>
    </row>
    <row r="97" spans="1:6" ht="74.400000000000006" customHeight="1" x14ac:dyDescent="0.3">
      <c r="A97" s="103" t="s">
        <v>39</v>
      </c>
      <c r="B97" s="107">
        <v>244</v>
      </c>
      <c r="C97" s="107">
        <v>343</v>
      </c>
      <c r="D97" s="3">
        <f t="shared" si="4"/>
        <v>0</v>
      </c>
      <c r="E97" s="1">
        <f>'иные субсидии 2022 год '!E202</f>
        <v>0</v>
      </c>
      <c r="F97" s="2"/>
    </row>
    <row r="98" spans="1:6" ht="72" x14ac:dyDescent="0.3">
      <c r="A98" s="103" t="s">
        <v>40</v>
      </c>
      <c r="B98" s="107">
        <v>244</v>
      </c>
      <c r="C98" s="107">
        <v>344</v>
      </c>
      <c r="D98" s="3">
        <f t="shared" si="4"/>
        <v>0</v>
      </c>
      <c r="E98" s="1">
        <f>'иные субсидии 2022 год '!E203</f>
        <v>0</v>
      </c>
      <c r="F98" s="2"/>
    </row>
    <row r="99" spans="1:6" ht="54" x14ac:dyDescent="0.3">
      <c r="A99" s="103" t="s">
        <v>41</v>
      </c>
      <c r="B99" s="107">
        <v>244</v>
      </c>
      <c r="C99" s="107">
        <v>345</v>
      </c>
      <c r="D99" s="3">
        <f t="shared" si="4"/>
        <v>0</v>
      </c>
      <c r="E99" s="1">
        <f>'иные субсидии 2022 год '!E204</f>
        <v>0</v>
      </c>
      <c r="F99" s="2"/>
    </row>
    <row r="100" spans="1:6" ht="88.2" customHeight="1" x14ac:dyDescent="0.3">
      <c r="A100" s="234" t="s">
        <v>42</v>
      </c>
      <c r="B100" s="257">
        <v>244</v>
      </c>
      <c r="C100" s="257">
        <v>346</v>
      </c>
      <c r="D100" s="263">
        <f t="shared" si="4"/>
        <v>106010</v>
      </c>
      <c r="E100" s="264">
        <f>'иные субсидии 2022 год '!E205</f>
        <v>106010</v>
      </c>
      <c r="F100" s="265"/>
    </row>
    <row r="101" spans="1:6" ht="88.2" customHeight="1" x14ac:dyDescent="0.3">
      <c r="A101" s="256" t="s">
        <v>446</v>
      </c>
      <c r="B101" s="259">
        <v>244</v>
      </c>
      <c r="C101" s="259">
        <v>347</v>
      </c>
      <c r="D101" s="3">
        <v>0</v>
      </c>
      <c r="E101" s="1">
        <v>0</v>
      </c>
      <c r="F101" s="1"/>
    </row>
    <row r="102" spans="1:6" ht="108.6" thickBot="1" x14ac:dyDescent="0.35">
      <c r="A102" s="266" t="s">
        <v>43</v>
      </c>
      <c r="B102" s="267">
        <v>244</v>
      </c>
      <c r="C102" s="267">
        <v>349</v>
      </c>
      <c r="D102" s="268">
        <f t="shared" si="4"/>
        <v>0</v>
      </c>
      <c r="E102" s="269">
        <f>'иные субсидии 2022 год '!E206</f>
        <v>0</v>
      </c>
      <c r="F102" s="270"/>
    </row>
    <row r="103" spans="1:6" ht="12.6" customHeight="1" x14ac:dyDescent="0.3">
      <c r="A103" s="13"/>
      <c r="B103" s="17"/>
      <c r="C103" s="17"/>
      <c r="D103" s="34"/>
      <c r="E103" s="34"/>
      <c r="F103" s="34"/>
    </row>
    <row r="104" spans="1:6" ht="18" x14ac:dyDescent="0.35">
      <c r="A104" s="543" t="s">
        <v>52</v>
      </c>
      <c r="B104" s="543"/>
      <c r="C104" s="248"/>
      <c r="D104" s="248"/>
      <c r="E104" s="542" t="s">
        <v>267</v>
      </c>
      <c r="F104" s="542"/>
    </row>
    <row r="105" spans="1:6" ht="18" x14ac:dyDescent="0.35">
      <c r="A105" s="250"/>
      <c r="B105" s="247"/>
      <c r="C105" s="247"/>
      <c r="D105" s="247" t="s">
        <v>53</v>
      </c>
      <c r="E105" s="541" t="s">
        <v>54</v>
      </c>
      <c r="F105" s="541"/>
    </row>
    <row r="106" spans="1:6" ht="14.4" customHeight="1" x14ac:dyDescent="0.35">
      <c r="A106" s="250"/>
      <c r="B106" s="247"/>
      <c r="C106" s="247"/>
      <c r="D106" s="247"/>
      <c r="E106" s="247"/>
      <c r="F106" s="247"/>
    </row>
    <row r="107" spans="1:6" ht="18" x14ac:dyDescent="0.35">
      <c r="A107" s="543" t="s">
        <v>55</v>
      </c>
      <c r="B107" s="543"/>
      <c r="C107" s="248"/>
      <c r="D107" s="248"/>
      <c r="E107" s="542" t="s">
        <v>464</v>
      </c>
      <c r="F107" s="542"/>
    </row>
    <row r="108" spans="1:6" ht="18" x14ac:dyDescent="0.35">
      <c r="A108" s="250"/>
      <c r="B108" s="247"/>
      <c r="C108" s="247"/>
      <c r="D108" s="247" t="s">
        <v>53</v>
      </c>
      <c r="E108" s="541" t="s">
        <v>54</v>
      </c>
      <c r="F108" s="541"/>
    </row>
    <row r="109" spans="1:6" ht="12" customHeight="1" x14ac:dyDescent="0.35">
      <c r="A109" s="250"/>
      <c r="B109" s="249"/>
      <c r="C109" s="249"/>
      <c r="D109" s="247"/>
      <c r="E109" s="249"/>
      <c r="F109" s="249"/>
    </row>
    <row r="110" spans="1:6" ht="18" x14ac:dyDescent="0.35">
      <c r="A110" s="250" t="s">
        <v>56</v>
      </c>
      <c r="B110" s="247"/>
      <c r="C110" s="248"/>
      <c r="D110" s="248"/>
      <c r="E110" s="542" t="s">
        <v>268</v>
      </c>
      <c r="F110" s="542"/>
    </row>
    <row r="111" spans="1:6" ht="18" x14ac:dyDescent="0.35">
      <c r="A111" s="250"/>
      <c r="B111" s="247"/>
      <c r="C111" s="247"/>
      <c r="D111" s="247" t="s">
        <v>53</v>
      </c>
      <c r="E111" s="541" t="s">
        <v>54</v>
      </c>
      <c r="F111" s="541"/>
    </row>
    <row r="112" spans="1:6" ht="18" x14ac:dyDescent="0.35">
      <c r="A112" s="250" t="s">
        <v>428</v>
      </c>
      <c r="B112" s="247"/>
      <c r="C112" s="247"/>
      <c r="D112" s="247"/>
      <c r="E112" s="247"/>
      <c r="F112" s="247"/>
    </row>
    <row r="113" spans="1:6" ht="18" x14ac:dyDescent="0.35">
      <c r="A113" s="540" t="s">
        <v>459</v>
      </c>
      <c r="B113" s="540"/>
      <c r="C113" s="247"/>
      <c r="D113" s="247"/>
      <c r="E113" s="247"/>
      <c r="F113" s="247"/>
    </row>
  </sheetData>
  <mergeCells count="23">
    <mergeCell ref="A113:B113"/>
    <mergeCell ref="E108:F108"/>
    <mergeCell ref="E110:F110"/>
    <mergeCell ref="E111:F111"/>
    <mergeCell ref="E104:F104"/>
    <mergeCell ref="E105:F105"/>
    <mergeCell ref="E107:F107"/>
    <mergeCell ref="A104:B104"/>
    <mergeCell ref="A107:B107"/>
    <mergeCell ref="A81:A82"/>
    <mergeCell ref="A1:F1"/>
    <mergeCell ref="A2:F2"/>
    <mergeCell ref="A5:A7"/>
    <mergeCell ref="B5:B7"/>
    <mergeCell ref="C5:C7"/>
    <mergeCell ref="D5:D7"/>
    <mergeCell ref="E5:F5"/>
    <mergeCell ref="E6:F6"/>
    <mergeCell ref="A12:F12"/>
    <mergeCell ref="A34:A35"/>
    <mergeCell ref="A37:A38"/>
    <mergeCell ref="A59:F59"/>
    <mergeCell ref="A78:A79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13</vt:i4>
      </vt:variant>
    </vt:vector>
  </HeadingPairs>
  <TitlesOfParts>
    <vt:vector size="34" baseType="lpstr">
      <vt:lpstr>Титульный</vt:lpstr>
      <vt:lpstr>гос.зад на 2022 год </vt:lpstr>
      <vt:lpstr>Закупки гос.задание на 2022 год</vt:lpstr>
      <vt:lpstr>обоснования гос.зад 2022 </vt:lpstr>
      <vt:lpstr>платные на 2022 год </vt:lpstr>
      <vt:lpstr>Закупки платные на 2022 год</vt:lpstr>
      <vt:lpstr>обоснования плат 2022</vt:lpstr>
      <vt:lpstr>иные субсидии 2022 год </vt:lpstr>
      <vt:lpstr>Закупки иные на 2022 год </vt:lpstr>
      <vt:lpstr>обоснования иные 2022 </vt:lpstr>
      <vt:lpstr>гос.задание на 2023-2024 год </vt:lpstr>
      <vt:lpstr>Закупки гос.зад на 2023-2024</vt:lpstr>
      <vt:lpstr>обоснования гос.зад 2023</vt:lpstr>
      <vt:lpstr>обоснования гос.зад 2024</vt:lpstr>
      <vt:lpstr>платные на 2023-2024 год</vt:lpstr>
      <vt:lpstr>Закупки платные на 2023-2024</vt:lpstr>
      <vt:lpstr>ОБОСНОВАНИЯ ПЛАТ 2023</vt:lpstr>
      <vt:lpstr>обоснования плат 2024</vt:lpstr>
      <vt:lpstr>иные субсидии 2021-2022</vt:lpstr>
      <vt:lpstr>Закупки иные на 2021-2022</vt:lpstr>
      <vt:lpstr>ОБОСНОВАНИЯ</vt:lpstr>
      <vt:lpstr>'гос.зад на 2022 год '!Заголовки_для_печати</vt:lpstr>
      <vt:lpstr>'гос.задание на 2023-2024 год '!Заголовки_для_печати</vt:lpstr>
      <vt:lpstr>'Закупки гос.зад на 2023-2024'!Заголовки_для_печати</vt:lpstr>
      <vt:lpstr>'Закупки гос.задание на 2022 год'!Заголовки_для_печати</vt:lpstr>
      <vt:lpstr>'Закупки иные на 2021-2022'!Заголовки_для_печати</vt:lpstr>
      <vt:lpstr>'Закупки иные на 2022 год '!Заголовки_для_печати</vt:lpstr>
      <vt:lpstr>'Закупки платные на 2022 год'!Заголовки_для_печати</vt:lpstr>
      <vt:lpstr>'Закупки платные на 2023-2024'!Заголовки_для_печати</vt:lpstr>
      <vt:lpstr>'иные субсидии 2021-2022'!Заголовки_для_печати</vt:lpstr>
      <vt:lpstr>'иные субсидии 2022 год '!Заголовки_для_печати</vt:lpstr>
      <vt:lpstr>'платные на 2022 год '!Заголовки_для_печати</vt:lpstr>
      <vt:lpstr>'платные на 2023-2024 год'!Заголовки_для_печати</vt:lpstr>
      <vt:lpstr>'иные субсидии 2021-2022'!Область_печати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2023-01-11T12:58:16Z</cp:lastPrinted>
  <dcterms:created xsi:type="dcterms:W3CDTF">2019-11-07T09:21:57Z</dcterms:created>
  <dcterms:modified xsi:type="dcterms:W3CDTF">2023-04-05T07:26:39Z</dcterms:modified>
</cp:coreProperties>
</file>